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TM (bounded)" sheetId="1" r:id="rId4"/>
    <sheet state="visible" name="TTM" sheetId="2" r:id="rId5"/>
    <sheet state="visible" name="Timeline" sheetId="3" r:id="rId6"/>
    <sheet state="visible" name="Revenue" sheetId="4" r:id="rId7"/>
    <sheet state="visible" name="Revenue Growth YoY" sheetId="5" r:id="rId8"/>
    <sheet state="visible" name="EBITDA_MARGIN" sheetId="6" r:id="rId9"/>
    <sheet state="visible" name="Quarterly Revenue&amp;EBITDA" sheetId="7" r:id="rId10"/>
    <sheet state="visible" name="Raw Annual Revenue" sheetId="8" r:id="rId11"/>
    <sheet state="visible" name="Raw Annual EBITDA" sheetId="9" r:id="rId12"/>
    <sheet state="visible" name="old Copy of Annual" sheetId="10" r:id="rId13"/>
    <sheet state="visible" name="old Formatted Data" sheetId="11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Trip.com Group</t>
      </text>
    </comment>
    <comment authorId="0" ref="F1">
      <text>
        <t xml:space="preserve">Tripadvisor</t>
      </text>
    </comment>
    <comment authorId="0" ref="H1">
      <text>
        <t xml:space="preserve">using EUR-to-USD conversation of 1.1  financial statement published in March annually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Trip.com Group</t>
      </text>
    </comment>
    <comment authorId="0" ref="F1">
      <text>
        <t xml:space="preserve">Tripadvisor</t>
      </text>
    </comment>
    <comment authorId="0" ref="H1">
      <text>
        <t xml:space="preserve">using EUR-to-USD conversation of 1.1  financial statement published in March annually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Trip.com Group</t>
      </text>
    </comment>
    <comment authorId="0" ref="F1">
      <text>
        <t xml:space="preserve">Tripadvisor</t>
      </text>
    </comment>
    <comment authorId="0" ref="H1">
      <text>
        <t xml:space="preserve">using EUR-to-USD conversation of 1.1  financial statement published in March annually</t>
      </text>
    </comment>
    <comment authorId="0" ref="O21">
      <text>
        <t xml:space="preserve">FY ends in June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Trip.com Group</t>
      </text>
    </comment>
    <comment authorId="0" ref="F1">
      <text>
        <t xml:space="preserve">Tripadvisor</t>
      </text>
    </comment>
    <comment authorId="0" ref="H1">
      <text>
        <t xml:space="preserve">using EUR-to-USD conversation of 1.1  financial statement published in March annually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Trip.com Group</t>
      </text>
    </comment>
    <comment authorId="0" ref="F1">
      <text>
        <t xml:space="preserve">Tripadvisor</t>
      </text>
    </comment>
    <comment authorId="0" ref="H1">
      <text>
        <t xml:space="preserve">using EUR-to-USD conversation of 1.1  financial statement published in March annually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Trip.com Group</t>
      </text>
    </comment>
    <comment authorId="0" ref="F1">
      <text>
        <t xml:space="preserve">Tripadvisor</t>
      </text>
    </comment>
    <comment authorId="0" ref="H1">
      <text>
        <t xml:space="preserve">using EUR-to-USD conversation of 1.1  financial statement published in March annually</t>
      </text>
    </comment>
    <comment authorId="0" ref="O21">
      <text>
        <t xml:space="preserve">FY ends in June</t>
      </text>
    </comment>
    <comment authorId="0" ref="O136">
      <text>
        <t xml:space="preserve">FY ends in June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Trip.com Group</t>
      </text>
    </comment>
    <comment authorId="0" ref="F1">
      <text>
        <t xml:space="preserve">Tripadvisor</t>
      </text>
    </comment>
    <comment authorId="0" ref="H1">
      <text>
        <t xml:space="preserve">using EUR-to-USD conversation of 1.1  financial statement published in March annually</t>
      </text>
    </comment>
    <comment authorId="0" ref="V9">
      <text>
        <t xml:space="preserve">154mil from Orbitz Worldwide 10Ks</t>
      </text>
    </comment>
    <comment authorId="0" ref="O26">
      <text>
        <t xml:space="preserve">updated in June
	-Deleted user</t>
      </text>
    </comment>
    <comment authorId="0" ref="O27">
      <text>
        <t xml:space="preserve">updated in march
	-Deleted user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Trip.com Group</t>
      </text>
    </comment>
    <comment authorId="0" ref="F1">
      <text>
        <t xml:space="preserve">Tripadvisor</t>
      </text>
    </comment>
    <comment authorId="0" ref="H1">
      <text>
        <t xml:space="preserve">using EUR-to-USD conversation of 1.1  financial statement published in March annually</t>
      </text>
    </comment>
    <comment authorId="0" ref="V9">
      <text>
        <t xml:space="preserve">-59m from Orbitz Worldwide's 10Ks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Trip.com Group</t>
      </text>
    </comment>
    <comment authorId="0" ref="F1">
      <text>
        <t xml:space="preserve">Tripadvisor</t>
      </text>
    </comment>
    <comment authorId="0" ref="H1">
      <text>
        <t xml:space="preserve">using EUR-to-USD conversation of 1.1  financial statement published in March annually</t>
      </text>
    </comment>
  </commentList>
</comments>
</file>

<file path=xl/sharedStrings.xml><?xml version="1.0" encoding="utf-8"?>
<sst xmlns="http://schemas.openxmlformats.org/spreadsheetml/2006/main" count="4764" uniqueCount="445">
  <si>
    <t xml:space="preserve"> </t>
  </si>
  <si>
    <t>ABNB</t>
  </si>
  <si>
    <t>BKNG</t>
  </si>
  <si>
    <t>EXPE</t>
  </si>
  <si>
    <t>TCOM</t>
  </si>
  <si>
    <t>TRIP</t>
  </si>
  <si>
    <t>TRVG</t>
  </si>
  <si>
    <t>EDR</t>
  </si>
  <si>
    <t>DESP</t>
  </si>
  <si>
    <t>MMYT</t>
  </si>
  <si>
    <t>Ixigo</t>
  </si>
  <si>
    <t>SEERA</t>
  </si>
  <si>
    <t>Almosafer</t>
  </si>
  <si>
    <t>Wego</t>
  </si>
  <si>
    <t>Webjet</t>
  </si>
  <si>
    <t>Webjet OTA</t>
  </si>
  <si>
    <t>Cleartrip Arabia</t>
  </si>
  <si>
    <t>Cleartrip ME &amp; Flyin</t>
  </si>
  <si>
    <t>LMN</t>
  </si>
  <si>
    <t>EaseMyTrip</t>
  </si>
  <si>
    <t>Yatra</t>
  </si>
  <si>
    <t>Orbitz</t>
  </si>
  <si>
    <t>Travelocity</t>
  </si>
  <si>
    <t>FLT</t>
  </si>
  <si>
    <t>Skyscanner</t>
  </si>
  <si>
    <t>Etraveli</t>
  </si>
  <si>
    <t>Kiwi</t>
  </si>
  <si>
    <t>Cleartrip</t>
  </si>
  <si>
    <t>Traveloka</t>
  </si>
  <si>
    <t>Revenue Growth YoY</t>
  </si>
  <si>
    <t>1997'Q1</t>
  </si>
  <si>
    <t>1997'Q2</t>
  </si>
  <si>
    <t>1997'Q3</t>
  </si>
  <si>
    <t>1997'Q4</t>
  </si>
  <si>
    <t>1998'Q1</t>
  </si>
  <si>
    <t>1998'Q2</t>
  </si>
  <si>
    <t>1998'Q3</t>
  </si>
  <si>
    <t>1998'Q4</t>
  </si>
  <si>
    <t>1999'Q1</t>
  </si>
  <si>
    <t>1999'Q2</t>
  </si>
  <si>
    <t>1999'Q3</t>
  </si>
  <si>
    <t>1999'Q4</t>
  </si>
  <si>
    <t>2000'Q1</t>
  </si>
  <si>
    <t>2000'Q2</t>
  </si>
  <si>
    <t>2000'Q3</t>
  </si>
  <si>
    <t>2000'Q4</t>
  </si>
  <si>
    <t>2001'Q1</t>
  </si>
  <si>
    <t>2001'Q2</t>
  </si>
  <si>
    <t>2001'Q3</t>
  </si>
  <si>
    <t>2001'Q4</t>
  </si>
  <si>
    <t>2002'Q1</t>
  </si>
  <si>
    <t>2002'Q2</t>
  </si>
  <si>
    <t>2002'Q3</t>
  </si>
  <si>
    <t>2002'Q4</t>
  </si>
  <si>
    <t>2003'Q1</t>
  </si>
  <si>
    <t>2003'Q2</t>
  </si>
  <si>
    <t>2003'Q3</t>
  </si>
  <si>
    <t>2003'Q4</t>
  </si>
  <si>
    <t>2004'Q1</t>
  </si>
  <si>
    <t>2004'Q2</t>
  </si>
  <si>
    <t>2004'Q3</t>
  </si>
  <si>
    <t>2004'Q4</t>
  </si>
  <si>
    <t>2005'Q1</t>
  </si>
  <si>
    <t>2005'Q2</t>
  </si>
  <si>
    <t>2005'Q3</t>
  </si>
  <si>
    <t>2005'Q4</t>
  </si>
  <si>
    <t>2006'Q1</t>
  </si>
  <si>
    <t>2006'Q2</t>
  </si>
  <si>
    <t>2006'Q3</t>
  </si>
  <si>
    <t>2006'Q4</t>
  </si>
  <si>
    <t>2007'Q1</t>
  </si>
  <si>
    <t>2007'Q2</t>
  </si>
  <si>
    <t>2007'Q3</t>
  </si>
  <si>
    <t>2007'Q4</t>
  </si>
  <si>
    <t>2008'Q1</t>
  </si>
  <si>
    <t>2008'Q2</t>
  </si>
  <si>
    <t>2008'Q3</t>
  </si>
  <si>
    <t>2008'Q4</t>
  </si>
  <si>
    <t>2009'Q1</t>
  </si>
  <si>
    <t>2009'Q2</t>
  </si>
  <si>
    <t>2009'Q3</t>
  </si>
  <si>
    <t>2009'Q4</t>
  </si>
  <si>
    <t>2010'Q1</t>
  </si>
  <si>
    <t>2010'Q2</t>
  </si>
  <si>
    <t>2010'Q3</t>
  </si>
  <si>
    <t>2010'Q4</t>
  </si>
  <si>
    <t>2011'Q1</t>
  </si>
  <si>
    <t>2011'Q2</t>
  </si>
  <si>
    <t>2011'Q3</t>
  </si>
  <si>
    <t>2011'Q4</t>
  </si>
  <si>
    <t>2012'Q1</t>
  </si>
  <si>
    <t>2012'Q2</t>
  </si>
  <si>
    <t>2012'Q3</t>
  </si>
  <si>
    <t>2012'Q4</t>
  </si>
  <si>
    <t>2013'Q1</t>
  </si>
  <si>
    <t>2013'Q2</t>
  </si>
  <si>
    <t>2013'Q3</t>
  </si>
  <si>
    <t>2013'Q4</t>
  </si>
  <si>
    <t>2014'Q1</t>
  </si>
  <si>
    <t>2014'Q2</t>
  </si>
  <si>
    <t>2014'Q3</t>
  </si>
  <si>
    <t>2014'Q4</t>
  </si>
  <si>
    <t>2015'Q1</t>
  </si>
  <si>
    <t>2015'Q2</t>
  </si>
  <si>
    <t>2015'Q3</t>
  </si>
  <si>
    <t>2015'Q4</t>
  </si>
  <si>
    <t>2016'Q1</t>
  </si>
  <si>
    <t>2016'Q2</t>
  </si>
  <si>
    <t>2016'Q3</t>
  </si>
  <si>
    <t>2016'Q4</t>
  </si>
  <si>
    <t>2017'Q1</t>
  </si>
  <si>
    <t>2017'Q2</t>
  </si>
  <si>
    <t>2017'Q3</t>
  </si>
  <si>
    <t>2017'Q4</t>
  </si>
  <si>
    <t>2018'Q1</t>
  </si>
  <si>
    <t>2018'Q2</t>
  </si>
  <si>
    <t>2018'Q3</t>
  </si>
  <si>
    <t>2018'Q4</t>
  </si>
  <si>
    <t>2019'Q1</t>
  </si>
  <si>
    <t>2019'Q2</t>
  </si>
  <si>
    <t>2019'Q3</t>
  </si>
  <si>
    <t>2019'Q4</t>
  </si>
  <si>
    <t>2020'Q1</t>
  </si>
  <si>
    <t>2020'Q2</t>
  </si>
  <si>
    <t>2020'Q3</t>
  </si>
  <si>
    <t>2020'Q4</t>
  </si>
  <si>
    <t>2021'Q1</t>
  </si>
  <si>
    <t>2021'Q2</t>
  </si>
  <si>
    <t>2021'Q3</t>
  </si>
  <si>
    <t>2021'Q4</t>
  </si>
  <si>
    <t>2022'Q1</t>
  </si>
  <si>
    <t>2022'Q2</t>
  </si>
  <si>
    <t>2022'Q3</t>
  </si>
  <si>
    <t>2022'Q4</t>
  </si>
  <si>
    <t>2023'Q1</t>
  </si>
  <si>
    <t>2023'Q2</t>
  </si>
  <si>
    <t>2023'Q3</t>
  </si>
  <si>
    <t>2023'Q4</t>
  </si>
  <si>
    <t>2024'Q1</t>
  </si>
  <si>
    <t>2024'Q2</t>
  </si>
  <si>
    <t>2024'Q3</t>
  </si>
  <si>
    <t>2024'Q4</t>
  </si>
  <si>
    <t>EBITDA Margin</t>
  </si>
  <si>
    <t>Month</t>
  </si>
  <si>
    <t>Comment</t>
  </si>
  <si>
    <t>Year</t>
  </si>
  <si>
    <t>Count</t>
  </si>
  <si>
    <t>Global Timeline</t>
  </si>
  <si>
    <t>Years</t>
  </si>
  <si>
    <t>Flags</t>
  </si>
  <si>
    <t>Mar'1999</t>
  </si>
  <si>
    <t>Priceline.com lists on NASDAQ 🇺🇸</t>
  </si>
  <si>
    <t>Dot-com bubble</t>
  </si>
  <si>
    <t>'97-'02</t>
  </si>
  <si>
    <t>🇺🇸🇪🇺🇨🇭🇮🇳🇨🇳🇭🇰🇬🇧🇦🇺🇸🇦🇪🇸</t>
  </si>
  <si>
    <t>Nov'1999</t>
  </si>
  <si>
    <t>Expedia lists on NASDAQ 🇺🇸</t>
  </si>
  <si>
    <t>Dot-com recovery</t>
  </si>
  <si>
    <t>'03-'07</t>
  </si>
  <si>
    <t>Mar'2000</t>
  </si>
  <si>
    <r>
      <rPr>
        <rFont val="Courier New"/>
        <color rgb="FF1155CC"/>
        <u/>
      </rPr>
      <t>Lastminute.com</t>
    </r>
    <r>
      <rPr>
        <rFont val="Courier New"/>
      </rPr>
      <t xml:space="preserve"> lists on LSE 🇪🇺</t>
    </r>
  </si>
  <si>
    <t>Great Recession</t>
  </si>
  <si>
    <t>'08-'09</t>
  </si>
  <si>
    <t>Sabre Holdings merges Travelocity with Preview Travel🇺🇸, owns 70%</t>
  </si>
  <si>
    <t>Rise of smartphones</t>
  </si>
  <si>
    <t>'10-'19</t>
  </si>
  <si>
    <t>Dot-com bubble. NASDAQ peaks in Mar'2000 before falling 78% by Oct'2002</t>
  </si>
  <si>
    <t>COVID-19 pandemic</t>
  </si>
  <si>
    <t>'20-'21</t>
  </si>
  <si>
    <t>May'2000</t>
  </si>
  <si>
    <t>Webjet lists on ASX 🇦🇺</t>
  </si>
  <si>
    <t>Post-pandemic rebound</t>
  </si>
  <si>
    <t>'22-'23</t>
  </si>
  <si>
    <t>Jun'2000</t>
  </si>
  <si>
    <r>
      <rPr>
        <rFont val="Courier New"/>
        <color rgb="FF1155CC"/>
        <u/>
      </rPr>
      <t>Bookings.nl</t>
    </r>
    <r>
      <rPr>
        <rFont val="Courier New"/>
      </rPr>
      <t xml:space="preserve"> merges with Bookings Online, forming </t>
    </r>
    <r>
      <rPr>
        <rFont val="Courier New"/>
        <color rgb="FF1155CC"/>
        <u/>
      </rPr>
      <t>Booking.com</t>
    </r>
  </si>
  <si>
    <t>Present</t>
  </si>
  <si>
    <t>'24 - present</t>
  </si>
  <si>
    <t>Jun'2001</t>
  </si>
  <si>
    <t>Expedia acquires Hotels.com 🇺🇸</t>
  </si>
  <si>
    <t>Missing financials:</t>
  </si>
  <si>
    <t>Sep'2001</t>
  </si>
  <si>
    <t>9/11 Terrorist attack. 20% cutback in air capacity in North America</t>
  </si>
  <si>
    <t>Mar'2002</t>
  </si>
  <si>
    <t>Sabre Holdings reacquires Travelocity's outstanding shares</t>
  </si>
  <si>
    <t>Orbitz LLC (2003 - 2004)</t>
  </si>
  <si>
    <t>ORBITZ LLC (CIK 0001127319)</t>
  </si>
  <si>
    <t>Dec'2003</t>
  </si>
  <si>
    <t>Ctrip lists on NASDAQ 🇨🇳</t>
  </si>
  <si>
    <t>Orbitz Worldwide (2007-2015</t>
  </si>
  <si>
    <t>Orbitz Worldwide, Inc. (CIK 0001394159)</t>
  </si>
  <si>
    <t>Orbitz lists on NYSE 🇺🇸</t>
  </si>
  <si>
    <t>Travelocity (2000-2002)</t>
  </si>
  <si>
    <t>TRAVELOCITY COM INC (CIK 0001104172)</t>
  </si>
  <si>
    <t>Sep'2004</t>
  </si>
  <si>
    <t>Orbitz taken private by Cendant Corp</t>
  </si>
  <si>
    <t>Lastminute (2000-2005)</t>
  </si>
  <si>
    <t>LASTMINUTE COM PLC (CIK 0001108034)</t>
  </si>
  <si>
    <t>(year ends 30 Sept)</t>
  </si>
  <si>
    <t>BvD ID: GB03852152  Orbis ID: 004940235</t>
  </si>
  <si>
    <t>renamed to Laser Holding Limited</t>
  </si>
  <si>
    <t>Priceline.com acquires Active Hotels for $160mil</t>
  </si>
  <si>
    <t>May'2005</t>
  </si>
  <si>
    <r>
      <rPr>
        <rFont val="Courier New"/>
      </rPr>
      <t xml:space="preserve">Sabre Holdings-owned Travelocity takes </t>
    </r>
    <r>
      <rPr>
        <rFont val="Courier New"/>
        <color rgb="FF1155CC"/>
        <u/>
      </rPr>
      <t>lastminute.com</t>
    </r>
    <r>
      <rPr>
        <rFont val="Courier New"/>
      </rPr>
      <t xml:space="preserve"> private for $1.1bn</t>
    </r>
  </si>
  <si>
    <t>Jul'2005</t>
  </si>
  <si>
    <t>Priceline.com acquires Booking.com for $133mil, merging it with Active Hotels</t>
  </si>
  <si>
    <t>Aug'2006</t>
  </si>
  <si>
    <t>Cendant Corp sell Orbitz to Blackstone Group as part of Travelport deal</t>
  </si>
  <si>
    <t>Mar'2007</t>
  </si>
  <si>
    <t>Sabre Holdings taken private by TPG &amp; Silver Lake Partners</t>
  </si>
  <si>
    <t>Jul'2007</t>
  </si>
  <si>
    <t>Orbitz lists on NYSE for the second time 🇺🇸</t>
  </si>
  <si>
    <t>Jan'2008</t>
  </si>
  <si>
    <t>The US housing bubble leads to the Great Recession (2008-2009)</t>
  </si>
  <si>
    <t>Jul'2010</t>
  </si>
  <si>
    <t>ITA Software accepts $700mil acquisition bid by Google</t>
  </si>
  <si>
    <t>Aug'2010</t>
  </si>
  <si>
    <t>MakeMyTrip lists on NASDAQ 🇮🇳</t>
  </si>
  <si>
    <t>Apr'2011</t>
  </si>
  <si>
    <t>US DoJ approves Google's acquisition of ITA Software, Google enters travel</t>
  </si>
  <si>
    <t>Jun'2011</t>
  </si>
  <si>
    <t>eDreams, GO Voyages and Opodo merge, forming eDreams ODIGEO 🇪🇺</t>
  </si>
  <si>
    <t>Dec'2011</t>
  </si>
  <si>
    <t>Expedia spins off Tripadvisor, listing it on NASDAQ 🇺🇸</t>
  </si>
  <si>
    <t>Apr'2012</t>
  </si>
  <si>
    <t>Al Tayyar Travel lists on Saudi Stock Exchange 🇸🇦</t>
  </si>
  <si>
    <t>Sep'2012</t>
  </si>
  <si>
    <t>Traveloka starts as a metasearch, quickly pivots to an OTA model 🇮🇩</t>
  </si>
  <si>
    <t xml:space="preserve">Missing: </t>
  </si>
  <si>
    <t>Dec'2012</t>
  </si>
  <si>
    <t>Expedia Group acquires 62% of Trivago</t>
  </si>
  <si>
    <t>May'2013</t>
  </si>
  <si>
    <r>
      <rPr>
        <rFont val="Courier New"/>
        <color rgb="FF1155CC"/>
        <u/>
      </rPr>
      <t>Priceline.com</t>
    </r>
    <r>
      <rPr>
        <rFont val="Courier New"/>
      </rPr>
      <t xml:space="preserve"> acquires Kayak for $1.8bn</t>
    </r>
  </si>
  <si>
    <t>Apr'2014</t>
  </si>
  <si>
    <t>eDreams ODIGEO lists on Madrid Stock Exchange 🇪🇺</t>
  </si>
  <si>
    <t>Bravofly Rumbo lists on SIX Swiss Echange🇨🇭</t>
  </si>
  <si>
    <r>
      <rPr>
        <rFont val="Courier New"/>
        <color rgb="FF1155CC"/>
        <u/>
      </rPr>
      <t>Priceline.com</t>
    </r>
    <r>
      <rPr>
        <rFont val="Courier New"/>
      </rPr>
      <t xml:space="preserve"> rebrands as The Priceline Group</t>
    </r>
  </si>
  <si>
    <t>Dec'2014</t>
  </si>
  <si>
    <t>Travelocity sells lastminute.com to Bravofly Rumbo</t>
  </si>
  <si>
    <t>Aug'2014</t>
  </si>
  <si>
    <t>ixigo expands to trains</t>
  </si>
  <si>
    <t>Feb'2015</t>
  </si>
  <si>
    <t>Expedia Group acquires Orbitz for $1.6bn &amp; Travelocity for $280mil</t>
  </si>
  <si>
    <t>Mar'2015</t>
  </si>
  <si>
    <t>Edreams ODIGEO faces post-IPO challenges. New CEO restructures the company. Subscriptions launched in 2017</t>
  </si>
  <si>
    <t>May'2015</t>
  </si>
  <si>
    <t>Bravofly Rumbo rebrands as Lastminute Group</t>
  </si>
  <si>
    <t>Oct'2015</t>
  </si>
  <si>
    <t>ProSiebenSat.1 acquires Etraveli for €235mil</t>
  </si>
  <si>
    <t>Nov'2015</t>
  </si>
  <si>
    <t>Expedia Group acquires HomeAway and VRBO for $3.9bn</t>
  </si>
  <si>
    <t>Nov'2016</t>
  </si>
  <si>
    <t>Ctrip acquires Skyscanner for £1.4bn</t>
  </si>
  <si>
    <t>May'2016</t>
  </si>
  <si>
    <r>
      <rPr>
        <rFont val="Courier New"/>
      </rPr>
      <t xml:space="preserve">Skypicker rebrands to </t>
    </r>
    <r>
      <rPr>
        <rFont val="Courier New"/>
        <color rgb="FF1155CC"/>
        <u/>
      </rPr>
      <t>Kiwi.com</t>
    </r>
    <r>
      <rPr>
        <rFont val="Courier New"/>
      </rPr>
      <t xml:space="preserve"> </t>
    </r>
  </si>
  <si>
    <t>Sep'2016</t>
  </si>
  <si>
    <t>Google launches Google Trips</t>
  </si>
  <si>
    <t>Oct'2016</t>
  </si>
  <si>
    <t>Yatra lists on NASDAQ 🇮🇳</t>
  </si>
  <si>
    <t>Dec'2016</t>
  </si>
  <si>
    <t>Trivago lists on NASDAQ 🇪🇺 Expedia maintains majority ownership</t>
  </si>
  <si>
    <t>Jun'2017</t>
  </si>
  <si>
    <t>CVC Capital Partners acquires Etraveli for €508mil</t>
  </si>
  <si>
    <r>
      <rPr>
        <rFont val="Courier New"/>
        <color rgb="FF1155CC"/>
        <u/>
      </rPr>
      <t>Booking.com</t>
    </r>
    <r>
      <rPr>
        <rFont val="Courier New"/>
      </rPr>
      <t xml:space="preserve"> pulls out of Trivago. Trivago shares drop 80% in the next 12 months</t>
    </r>
  </si>
  <si>
    <t>Jul'2017</t>
  </si>
  <si>
    <t>Expedia leads $350mil Series C funding for Traveloka</t>
  </si>
  <si>
    <t>Sep'2017</t>
  </si>
  <si>
    <t>Despegar lists on NASDAQ</t>
  </si>
  <si>
    <t>Feb'2018</t>
  </si>
  <si>
    <t>The Priceline Group rebrands to Booking Holdings</t>
  </si>
  <si>
    <t>Nov'2018</t>
  </si>
  <si>
    <t>Webjet acquires Destinations of the World, boosting its bedbank business</t>
  </si>
  <si>
    <t>Mar'2019</t>
  </si>
  <si>
    <t>Airbnb acquires HotelTonight for $400m</t>
  </si>
  <si>
    <t>Apr'2019</t>
  </si>
  <si>
    <t>Al Tayyar Travel rebrands as SEERA Group</t>
  </si>
  <si>
    <t>May'2019</t>
  </si>
  <si>
    <t>Google consolidates Flights, Hotel Finder &amp; Trips products under one interface</t>
  </si>
  <si>
    <t>Aug'2019</t>
  </si>
  <si>
    <t>Google sunsets Trips app</t>
  </si>
  <si>
    <t>Sep'2019</t>
  </si>
  <si>
    <r>
      <rPr>
        <rFont val="Courier New"/>
      </rPr>
      <t xml:space="preserve">Ctrip rebrands as </t>
    </r>
    <r>
      <rPr>
        <rFont val="Courier New"/>
        <color rgb="FF1155CC"/>
        <u/>
      </rPr>
      <t>Trip.com</t>
    </r>
    <r>
      <rPr>
        <rFont val="Courier New"/>
      </rPr>
      <t xml:space="preserve"> Group</t>
    </r>
  </si>
  <si>
    <t>Feb'2020</t>
  </si>
  <si>
    <t>Start of COVID-19 pandemic. Severe travel restrictions worldwide (2000-2002)</t>
  </si>
  <si>
    <t>Dec'2020</t>
  </si>
  <si>
    <t>Airbnb lists on NASDAQ 🇺🇸</t>
  </si>
  <si>
    <t>Mar'2021</t>
  </si>
  <si>
    <t>EaseMyTrip lists on Bombay Stock Exchange 🇮🇳</t>
  </si>
  <si>
    <t>Nov'2021</t>
  </si>
  <si>
    <t>Etraveli Group accepts Booking Holdings' €1.6bn takeover bid 🇪🇺</t>
  </si>
  <si>
    <t>Sep'2023</t>
  </si>
  <si>
    <t>EC blocks Booking Holdings-Etraveli merger 🇪🇺</t>
  </si>
  <si>
    <t>May'2024</t>
  </si>
  <si>
    <t>EC designates Booking Holdings, Google Shopping a 'gatekeeper' status</t>
  </si>
  <si>
    <t>Jun'2024</t>
  </si>
  <si>
    <t>ixigo lists on Bombay Stock Exchange 🇮🇳</t>
  </si>
  <si>
    <t>Aug'2024</t>
  </si>
  <si>
    <t>US DoJ rules Google a monopoly in search and advertising</t>
  </si>
  <si>
    <t>Sep'2024</t>
  </si>
  <si>
    <t>Webjet's demerger splits its wholesale and consumer business</t>
  </si>
  <si>
    <t>Other notable events (won't be showing these)</t>
  </si>
  <si>
    <r>
      <rPr>
        <rFont val="Open Sans"/>
        <color rgb="FF1155CC"/>
        <u/>
      </rPr>
      <t>Charter.se</t>
    </r>
    <r>
      <rPr>
        <rFont val="Open Sans"/>
      </rPr>
      <t xml:space="preserve"> rebrands to Etraveli</t>
    </r>
  </si>
  <si>
    <t>Rentalcars acquired by Priceline</t>
  </si>
  <si>
    <t>OpenTable acquired by Priceline</t>
  </si>
  <si>
    <t>TheForm acquired by TripAdvisor</t>
  </si>
  <si>
    <t>Mar'2014</t>
  </si>
  <si>
    <t>American Express divests travel division forming Amex GBT</t>
  </si>
  <si>
    <t>SAP acquires Concur for 8.3bn</t>
  </si>
  <si>
    <t>Amex GBT acquires KDS and SMT</t>
  </si>
  <si>
    <t>Concur acquires Hipmunk</t>
  </si>
  <si>
    <t>Viajar acquired by Despegar</t>
  </si>
  <si>
    <t>Amex GBT acquires HRG</t>
  </si>
  <si>
    <t>Musement acquired by GetYourGuide</t>
  </si>
  <si>
    <t>Amex GBT acquires Kanoo Travel and DER</t>
  </si>
  <si>
    <t>Jan'2021</t>
  </si>
  <si>
    <t>TripActions valuation reaches $5bn</t>
  </si>
  <si>
    <t>Apr'2021</t>
  </si>
  <si>
    <t>TravelPerk valuation reaches $1bn</t>
  </si>
  <si>
    <t>May'2021</t>
  </si>
  <si>
    <t>Amex GBT acquires Egencia from Expedia</t>
  </si>
  <si>
    <t>Feb'2023</t>
  </si>
  <si>
    <t>TripActions rebrands to Navan</t>
  </si>
  <si>
    <t>Mar'2024</t>
  </si>
  <si>
    <t>Amex GBT acquires CWT</t>
  </si>
  <si>
    <t>Revenue</t>
  </si>
  <si>
    <t>EBITDA</t>
  </si>
  <si>
    <r>
      <rPr>
        <rFont val="Open Sans"/>
        <b/>
        <color theme="1"/>
      </rPr>
      <t xml:space="preserve">MMYT
</t>
    </r>
    <r>
      <rPr>
        <rFont val="Open Sans"/>
        <b val="0"/>
        <color theme="1"/>
      </rPr>
      <t>FY ends in 'Mar</t>
    </r>
  </si>
  <si>
    <r>
      <rPr>
        <rFont val="Open Sans"/>
        <b/>
        <color rgb="FF0000FF"/>
      </rPr>
      <t xml:space="preserve">Ixigo
</t>
    </r>
    <r>
      <rPr>
        <rFont val="Open Sans"/>
        <b val="0"/>
        <color rgb="FF000000"/>
      </rPr>
      <t>FY ends in 'Mar</t>
    </r>
  </si>
  <si>
    <r>
      <rPr>
        <rFont val="Open Sans"/>
        <b/>
        <color theme="1"/>
      </rPr>
      <t xml:space="preserve">Webjet
</t>
    </r>
    <r>
      <rPr>
        <rFont val="Open Sans"/>
        <b val="0"/>
        <color theme="1"/>
      </rPr>
      <t>FY ends in June until '21</t>
    </r>
  </si>
  <si>
    <r>
      <rPr>
        <rFont val="Open Sans"/>
        <b/>
        <color rgb="FF0000FF"/>
      </rPr>
      <t xml:space="preserve">EaseMyTrip
</t>
    </r>
    <r>
      <rPr>
        <rFont val="Open Sans"/>
        <b val="0"/>
        <color rgb="FF000000"/>
      </rPr>
      <t>FY ends in 'Mar</t>
    </r>
  </si>
  <si>
    <r>
      <rPr>
        <rFont val="Open Sans"/>
        <b/>
        <color theme="1"/>
      </rPr>
      <t xml:space="preserve">Yatra
</t>
    </r>
    <r>
      <rPr>
        <rFont val="Open Sans"/>
        <b val="0"/>
        <color theme="1"/>
      </rPr>
      <t>FY ends in 'Mar</t>
    </r>
  </si>
  <si>
    <t>n.a.</t>
  </si>
  <si>
    <t>2020</t>
  </si>
  <si>
    <t>EBITDA Margin (%)</t>
  </si>
  <si>
    <t>Company</t>
  </si>
  <si>
    <t>Revenue Growth (%)</t>
  </si>
  <si>
    <t>Q1'1997</t>
  </si>
  <si>
    <t>Q2'1997</t>
  </si>
  <si>
    <t>Q3'1997</t>
  </si>
  <si>
    <t>Q4'1997</t>
  </si>
  <si>
    <t>Q1'1998</t>
  </si>
  <si>
    <t>Q2'1998</t>
  </si>
  <si>
    <t>Q3'1998</t>
  </si>
  <si>
    <t>Q4'1998</t>
  </si>
  <si>
    <t>Q1'1999</t>
  </si>
  <si>
    <t>Q2'1999</t>
  </si>
  <si>
    <t>Q3'1999</t>
  </si>
  <si>
    <t>Q4'1999</t>
  </si>
  <si>
    <t>Q1'2000</t>
  </si>
  <si>
    <t>Q2'2000</t>
  </si>
  <si>
    <t>Q3'2000</t>
  </si>
  <si>
    <t>Q4'2000</t>
  </si>
  <si>
    <t>Q1'2001</t>
  </si>
  <si>
    <t>Q2'2001</t>
  </si>
  <si>
    <t>Q3'2001</t>
  </si>
  <si>
    <t>Q4'2001</t>
  </si>
  <si>
    <t>Q1'2002</t>
  </si>
  <si>
    <t>Q2'2002</t>
  </si>
  <si>
    <t>Q3'2002</t>
  </si>
  <si>
    <t>Q4'2002</t>
  </si>
  <si>
    <t>Q1'2003</t>
  </si>
  <si>
    <t>Q2'2003</t>
  </si>
  <si>
    <t>Q3'2003</t>
  </si>
  <si>
    <t>Q4'2003</t>
  </si>
  <si>
    <t>Q1'2004</t>
  </si>
  <si>
    <t>Q2'2004</t>
  </si>
  <si>
    <t>Q3'2004</t>
  </si>
  <si>
    <t>Q4'2004</t>
  </si>
  <si>
    <t>Q1'2005</t>
  </si>
  <si>
    <t>Q2'2005</t>
  </si>
  <si>
    <t>Q3'2005</t>
  </si>
  <si>
    <t>Q4'2005</t>
  </si>
  <si>
    <t>Q1'2006</t>
  </si>
  <si>
    <t>Q2'2006</t>
  </si>
  <si>
    <t>Q3'2006</t>
  </si>
  <si>
    <t>Q4'2006</t>
  </si>
  <si>
    <t>Q1'2007</t>
  </si>
  <si>
    <t>Q2'2007</t>
  </si>
  <si>
    <t>Q3'2007</t>
  </si>
  <si>
    <t>Q4'2007</t>
  </si>
  <si>
    <t>Q1'2008</t>
  </si>
  <si>
    <t>Q2'2008</t>
  </si>
  <si>
    <t>Q3'2008</t>
  </si>
  <si>
    <t>Q4'2008</t>
  </si>
  <si>
    <t>Q1'2009</t>
  </si>
  <si>
    <t>Q2'2009</t>
  </si>
  <si>
    <t>Q3'2009</t>
  </si>
  <si>
    <t>Q4'2009</t>
  </si>
  <si>
    <t>Q1'2010</t>
  </si>
  <si>
    <t>Q2'2010</t>
  </si>
  <si>
    <t>Q3'2010</t>
  </si>
  <si>
    <t>Q4'2010</t>
  </si>
  <si>
    <t>Q1'2011</t>
  </si>
  <si>
    <t>Q2'2011</t>
  </si>
  <si>
    <t>Q3'2011</t>
  </si>
  <si>
    <t>Q4'2011</t>
  </si>
  <si>
    <t>Q1'2012</t>
  </si>
  <si>
    <t>Q2'2012</t>
  </si>
  <si>
    <t>Q3'2012</t>
  </si>
  <si>
    <t>Q4'2012</t>
  </si>
  <si>
    <t>Q1'2013</t>
  </si>
  <si>
    <t>Q2'2013</t>
  </si>
  <si>
    <t>Q3'2013</t>
  </si>
  <si>
    <t>Q4'2013</t>
  </si>
  <si>
    <t>Q1'2014</t>
  </si>
  <si>
    <t>Q2'2014</t>
  </si>
  <si>
    <t>Q3'2014</t>
  </si>
  <si>
    <t>Q4'2014</t>
  </si>
  <si>
    <t>Q1'2015</t>
  </si>
  <si>
    <t>Q2'2015</t>
  </si>
  <si>
    <t>Q3'2015</t>
  </si>
  <si>
    <t>Q4'2015</t>
  </si>
  <si>
    <t>Q1'2016</t>
  </si>
  <si>
    <t>Q2'2016</t>
  </si>
  <si>
    <t>Q3'2016</t>
  </si>
  <si>
    <t>Q4'2016</t>
  </si>
  <si>
    <t>Q1'2017</t>
  </si>
  <si>
    <t>Q2'2017</t>
  </si>
  <si>
    <t>Q3'2017</t>
  </si>
  <si>
    <t>Q4'2017</t>
  </si>
  <si>
    <t>Q1'2018</t>
  </si>
  <si>
    <t>Q2'2018</t>
  </si>
  <si>
    <t>Q3'2018</t>
  </si>
  <si>
    <t>Q4'2018</t>
  </si>
  <si>
    <t>Q1'2019</t>
  </si>
  <si>
    <t>Q2'2019</t>
  </si>
  <si>
    <t>Q3'2019</t>
  </si>
  <si>
    <t>Q4'2019</t>
  </si>
  <si>
    <t>Q1'2020</t>
  </si>
  <si>
    <t>Q2'2020</t>
  </si>
  <si>
    <t>Q3'2020</t>
  </si>
  <si>
    <t>Q4'2020</t>
  </si>
  <si>
    <t>Q1'2021</t>
  </si>
  <si>
    <t>Q2'2021</t>
  </si>
  <si>
    <t>Q3'2021</t>
  </si>
  <si>
    <t>Q4'2021</t>
  </si>
  <si>
    <t>Q1'2022</t>
  </si>
  <si>
    <t>Q2'2022</t>
  </si>
  <si>
    <t>Q3'2022</t>
  </si>
  <si>
    <t>Q4'2022</t>
  </si>
  <si>
    <t>Q1'2023</t>
  </si>
  <si>
    <t>Q2'2023</t>
  </si>
  <si>
    <t>Q3'2023</t>
  </si>
  <si>
    <t>Q4'2023</t>
  </si>
  <si>
    <t>Q1'2024</t>
  </si>
  <si>
    <t>Q2'2024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</si>
</sst>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0.0%"/>
    <numFmt numFmtId="165" formatCode="$#,##0.0, "/>
    <numFmt numFmtId="166" formatCode="$#,##0, "/>
    <numFmt numFmtId="167" formatCode="$#,##0.00, "/>
    <numFmt numFmtId="168" formatCode="&quot;$&quot;#,##0"/>
    <numFmt numFmtId="169" formatCode="&quot;$&quot;#,##0.0"/>
    <numFmt numFmtId="170" formatCode="0.0"/>
    <numFmt numFmtId="171" formatCode="$#,##0.000, "/>
    <numFmt numFmtId="172" formatCode="$#,##0.0000000000, "/>
    <numFmt numFmtId="173" formatCode="&quot;$&quot;#,##0.00"/>
    <numFmt numFmtId="174" formatCode="#,##0, &quot;M&quot;"/>
  </numFmts>
  <fonts count="18">
    <font>
      <sz val="10.0"/>
      <color rgb="FF000000"/>
      <name val="Arial"/>
      <scheme val="minor"/>
    </font>
    <font>
      <b/>
      <color rgb="FF0000FF"/>
      <name val="Open Sans"/>
    </font>
    <font>
      <b/>
      <color theme="1"/>
      <name val="Open Sans"/>
    </font>
    <font>
      <b/>
      <color rgb="FF000000"/>
      <name val="Open Sans"/>
    </font>
    <font>
      <b/>
      <color rgb="FF274E13"/>
      <name val="Open Sans"/>
    </font>
    <font>
      <color theme="1"/>
      <name val="Open Sans"/>
    </font>
    <font>
      <color theme="1"/>
      <name val="Courier New"/>
    </font>
    <font>
      <u/>
      <color rgb="FF0000FF"/>
      <name val="Courier New"/>
    </font>
    <font>
      <color rgb="FF333333"/>
      <name val="Inherit"/>
    </font>
    <font/>
    <font>
      <color rgb="FF333333"/>
      <name val="&quot;Open Sans&quot;"/>
    </font>
    <font>
      <u/>
      <color rgb="FF0000FF"/>
      <name val="Open Sans"/>
    </font>
    <font>
      <b/>
      <color theme="1"/>
      <name val="Arial"/>
      <scheme val="minor"/>
    </font>
    <font>
      <color theme="1"/>
      <name val="Arial"/>
      <scheme val="minor"/>
    </font>
    <font>
      <color rgb="FFFF00FF"/>
      <name val="Arial"/>
      <scheme val="minor"/>
    </font>
    <font>
      <color rgb="FF000000"/>
      <name val="Arial"/>
      <scheme val="minor"/>
    </font>
    <font>
      <b/>
      <color rgb="FF999999"/>
      <name val="Open Sans"/>
    </font>
    <font>
      <sz val="12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D6DDE4"/>
      </top>
      <bottom style="thin">
        <color rgb="FFFFFFFF"/>
      </bottom>
    </border>
    <border>
      <right style="thin">
        <color rgb="FFFFFFFF"/>
      </right>
      <top style="thin">
        <color rgb="FFD6DDE4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3" fontId="3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1" fillId="3" fontId="2" numFmtId="0" xfId="0" applyAlignment="1" applyBorder="1" applyFont="1">
      <alignment horizontal="center" readingOrder="0" vertical="center"/>
    </xf>
    <xf borderId="1" fillId="0" fontId="5" numFmtId="0" xfId="0" applyBorder="1" applyFont="1"/>
    <xf borderId="1" fillId="0" fontId="2" numFmtId="0" xfId="0" applyAlignment="1" applyBorder="1" applyFont="1">
      <alignment horizontal="center" readingOrder="0" shrinkToFit="0" wrapText="1"/>
    </xf>
    <xf borderId="1" fillId="0" fontId="5" numFmtId="9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 readingOrder="0"/>
    </xf>
    <xf borderId="1" fillId="0" fontId="5" numFmtId="0" xfId="0" applyAlignment="1" applyBorder="1" applyFont="1">
      <alignment readingOrder="0"/>
    </xf>
    <xf borderId="1" fillId="0" fontId="5" numFmtId="9" xfId="0" applyBorder="1" applyFont="1" applyNumberFormat="1"/>
    <xf borderId="1" fillId="0" fontId="2" numFmtId="0" xfId="0" applyAlignment="1" applyBorder="1" applyFont="1">
      <alignment horizontal="center" readingOrder="0" vertical="center"/>
    </xf>
    <xf borderId="1" fillId="4" fontId="2" numFmtId="0" xfId="0" applyAlignment="1" applyBorder="1" applyFill="1" applyFont="1">
      <alignment horizontal="center" readingOrder="0"/>
    </xf>
    <xf borderId="1" fillId="4" fontId="5" numFmtId="164" xfId="0" applyAlignment="1" applyBorder="1" applyFont="1" applyNumberFormat="1">
      <alignment horizontal="center"/>
    </xf>
    <xf borderId="1" fillId="4" fontId="5" numFmtId="164" xfId="0" applyAlignment="1" applyBorder="1" applyFont="1" applyNumberFormat="1">
      <alignment horizontal="center" readingOrder="0"/>
    </xf>
    <xf borderId="1" fillId="4" fontId="5" numFmtId="9" xfId="0" applyAlignment="1" applyBorder="1" applyFont="1" applyNumberFormat="1">
      <alignment horizontal="center"/>
    </xf>
    <xf borderId="1" fillId="4" fontId="5" numFmtId="0" xfId="0" applyBorder="1" applyFont="1"/>
    <xf borderId="1" fillId="0" fontId="5" numFmtId="9" xfId="0" applyAlignment="1" applyBorder="1" applyFont="1" applyNumberFormat="1">
      <alignment readingOrder="0"/>
    </xf>
    <xf borderId="1" fillId="0" fontId="5" numFmtId="164" xfId="0" applyAlignment="1" applyBorder="1" applyFont="1" applyNumberFormat="1">
      <alignment horizontal="center"/>
    </xf>
    <xf borderId="1" fillId="0" fontId="2" numFmtId="0" xfId="0" applyAlignment="1" applyBorder="1" applyFont="1">
      <alignment horizontal="left" readingOrder="0" vertical="center"/>
    </xf>
    <xf borderId="1" fillId="0" fontId="6" numFmtId="0" xfId="0" applyAlignment="1" applyBorder="1" applyFont="1">
      <alignment readingOrder="0"/>
    </xf>
    <xf borderId="1" fillId="0" fontId="5" numFmtId="0" xfId="0" applyAlignment="1" applyBorder="1" applyFont="1">
      <alignment horizontal="center"/>
    </xf>
    <xf quotePrefix="1" borderId="1" fillId="0" fontId="6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6" numFmtId="0" xfId="0" applyAlignment="1" applyBorder="1" applyFont="1">
      <alignment readingOrder="0" vertical="center"/>
    </xf>
    <xf borderId="2" fillId="5" fontId="8" numFmtId="0" xfId="0" applyAlignment="1" applyBorder="1" applyFill="1" applyFont="1">
      <alignment readingOrder="0"/>
    </xf>
    <xf borderId="3" fillId="0" fontId="9" numFmtId="0" xfId="0" applyBorder="1" applyFont="1"/>
    <xf borderId="0" fillId="5" fontId="10" numFmtId="0" xfId="0" applyFont="1"/>
    <xf borderId="1" fillId="0" fontId="6" numFmtId="0" xfId="0" applyAlignment="1" applyBorder="1" applyFont="1">
      <alignment readingOrder="0"/>
    </xf>
    <xf borderId="1" fillId="0" fontId="11" numFmtId="0" xfId="0" applyAlignment="1" applyBorder="1" applyFont="1">
      <alignment readingOrder="0"/>
    </xf>
    <xf borderId="1" fillId="0" fontId="4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12" numFmtId="0" xfId="0" applyAlignment="1" applyBorder="1" applyFont="1">
      <alignment horizontal="center" readingOrder="0"/>
    </xf>
    <xf borderId="1" fillId="0" fontId="13" numFmtId="0" xfId="0" applyBorder="1" applyFont="1"/>
    <xf borderId="1" fillId="5" fontId="13" numFmtId="0" xfId="0" applyBorder="1" applyFont="1"/>
    <xf borderId="1" fillId="0" fontId="13" numFmtId="165" xfId="0" applyAlignment="1" applyBorder="1" applyFont="1" applyNumberFormat="1">
      <alignment horizontal="center"/>
    </xf>
    <xf borderId="1" fillId="0" fontId="13" numFmtId="166" xfId="0" applyAlignment="1" applyBorder="1" applyFont="1" applyNumberFormat="1">
      <alignment horizontal="center"/>
    </xf>
    <xf borderId="1" fillId="5" fontId="13" numFmtId="165" xfId="0" applyAlignment="1" applyBorder="1" applyFont="1" applyNumberFormat="1">
      <alignment horizontal="center"/>
    </xf>
    <xf borderId="1" fillId="5" fontId="13" numFmtId="167" xfId="0" applyAlignment="1" applyBorder="1" applyFont="1" applyNumberFormat="1">
      <alignment horizontal="center"/>
    </xf>
    <xf borderId="1" fillId="5" fontId="13" numFmtId="166" xfId="0" applyAlignment="1" applyBorder="1" applyFont="1" applyNumberFormat="1">
      <alignment horizontal="center"/>
    </xf>
    <xf borderId="1" fillId="0" fontId="13" numFmtId="166" xfId="0" applyAlignment="1" applyBorder="1" applyFont="1" applyNumberFormat="1">
      <alignment horizontal="center"/>
    </xf>
    <xf borderId="1" fillId="0" fontId="14" numFmtId="168" xfId="0" applyAlignment="1" applyBorder="1" applyFont="1" applyNumberFormat="1">
      <alignment horizontal="center"/>
    </xf>
    <xf borderId="1" fillId="0" fontId="13" numFmtId="0" xfId="0" applyAlignment="1" applyBorder="1" applyFont="1">
      <alignment horizontal="center"/>
    </xf>
    <xf borderId="1" fillId="5" fontId="14" numFmtId="169" xfId="0" applyAlignment="1" applyBorder="1" applyFont="1" applyNumberFormat="1">
      <alignment horizontal="center"/>
    </xf>
    <xf borderId="1" fillId="0" fontId="15" numFmtId="168" xfId="0" applyAlignment="1" applyBorder="1" applyFont="1" applyNumberFormat="1">
      <alignment horizontal="center"/>
    </xf>
    <xf borderId="1" fillId="0" fontId="15" numFmtId="0" xfId="0" applyAlignment="1" applyBorder="1" applyFont="1">
      <alignment horizontal="center"/>
    </xf>
    <xf borderId="1" fillId="0" fontId="15" numFmtId="0" xfId="0" applyBorder="1" applyFont="1"/>
    <xf borderId="1" fillId="5" fontId="15" numFmtId="169" xfId="0" applyAlignment="1" applyBorder="1" applyFont="1" applyNumberFormat="1">
      <alignment horizontal="center"/>
    </xf>
    <xf borderId="1" fillId="0" fontId="13" numFmtId="168" xfId="0" applyAlignment="1" applyBorder="1" applyFont="1" applyNumberFormat="1">
      <alignment horizontal="center"/>
    </xf>
    <xf borderId="1" fillId="0" fontId="14" numFmtId="170" xfId="0" applyAlignment="1" applyBorder="1" applyFont="1" applyNumberFormat="1">
      <alignment horizontal="center"/>
    </xf>
    <xf borderId="1" fillId="0" fontId="15" numFmtId="170" xfId="0" applyAlignment="1" applyBorder="1" applyFont="1" applyNumberFormat="1">
      <alignment horizontal="center"/>
    </xf>
    <xf borderId="1" fillId="0" fontId="14" numFmtId="166" xfId="0" applyAlignment="1" applyBorder="1" applyFont="1" applyNumberFormat="1">
      <alignment horizontal="center"/>
    </xf>
    <xf borderId="1" fillId="0" fontId="13" numFmtId="164" xfId="0" applyBorder="1" applyFont="1" applyNumberFormat="1"/>
    <xf borderId="1" fillId="0" fontId="13" numFmtId="164" xfId="0" applyAlignment="1" applyBorder="1" applyFont="1" applyNumberFormat="1">
      <alignment horizontal="center"/>
    </xf>
    <xf borderId="1" fillId="5" fontId="13" numFmtId="164" xfId="0" applyBorder="1" applyFont="1" applyNumberFormat="1"/>
    <xf borderId="1" fillId="5" fontId="13" numFmtId="164" xfId="0" applyAlignment="1" applyBorder="1" applyFont="1" applyNumberFormat="1">
      <alignment horizontal="center"/>
    </xf>
    <xf borderId="1" fillId="0" fontId="13" numFmtId="171" xfId="0" applyAlignment="1" applyBorder="1" applyFont="1" applyNumberFormat="1">
      <alignment horizontal="center"/>
    </xf>
    <xf borderId="1" fillId="0" fontId="14" numFmtId="165" xfId="0" applyAlignment="1" applyBorder="1" applyFont="1" applyNumberFormat="1">
      <alignment horizontal="center"/>
    </xf>
    <xf borderId="1" fillId="0" fontId="15" numFmtId="165" xfId="0" applyAlignment="1" applyBorder="1" applyFont="1" applyNumberFormat="1">
      <alignment horizontal="center"/>
    </xf>
    <xf borderId="1" fillId="0" fontId="15" numFmtId="166" xfId="0" applyAlignment="1" applyBorder="1" applyFont="1" applyNumberFormat="1">
      <alignment horizontal="center"/>
    </xf>
    <xf borderId="1" fillId="0" fontId="14" numFmtId="10" xfId="0" applyAlignment="1" applyBorder="1" applyFont="1" applyNumberFormat="1">
      <alignment horizontal="center"/>
    </xf>
    <xf borderId="1" fillId="5" fontId="13" numFmtId="172" xfId="0" applyAlignment="1" applyBorder="1" applyFont="1" applyNumberFormat="1">
      <alignment horizontal="center"/>
    </xf>
    <xf borderId="1" fillId="4" fontId="12" numFmtId="0" xfId="0" applyAlignment="1" applyBorder="1" applyFont="1">
      <alignment horizontal="center" readingOrder="0"/>
    </xf>
    <xf borderId="1" fillId="4" fontId="13" numFmtId="166" xfId="0" applyAlignment="1" applyBorder="1" applyFont="1" applyNumberFormat="1">
      <alignment horizontal="center"/>
    </xf>
    <xf borderId="1" fillId="4" fontId="14" numFmtId="168" xfId="0" applyAlignment="1" applyBorder="1" applyFont="1" applyNumberFormat="1">
      <alignment horizontal="center"/>
    </xf>
    <xf borderId="1" fillId="4" fontId="14" numFmtId="169" xfId="0" applyAlignment="1" applyBorder="1" applyFont="1" applyNumberFormat="1">
      <alignment horizontal="center"/>
    </xf>
    <xf borderId="1" fillId="4" fontId="15" numFmtId="165" xfId="0" applyAlignment="1" applyBorder="1" applyFont="1" applyNumberFormat="1">
      <alignment horizontal="center"/>
    </xf>
    <xf borderId="1" fillId="4" fontId="13" numFmtId="169" xfId="0" applyAlignment="1" applyBorder="1" applyFont="1" applyNumberFormat="1">
      <alignment horizontal="center"/>
    </xf>
    <xf borderId="1" fillId="4" fontId="13" numFmtId="0" xfId="0" applyBorder="1" applyFont="1"/>
    <xf borderId="1" fillId="4" fontId="13" numFmtId="165" xfId="0" applyAlignment="1" applyBorder="1" applyFont="1" applyNumberFormat="1">
      <alignment horizontal="center"/>
    </xf>
    <xf borderId="1" fillId="4" fontId="15" numFmtId="168" xfId="0" applyAlignment="1" applyBorder="1" applyFont="1" applyNumberFormat="1">
      <alignment horizontal="center"/>
    </xf>
    <xf borderId="1" fillId="4" fontId="15" numFmtId="169" xfId="0" applyAlignment="1" applyBorder="1" applyFont="1" applyNumberFormat="1">
      <alignment horizontal="center"/>
    </xf>
    <xf borderId="1" fillId="0" fontId="13" numFmtId="173" xfId="0" applyAlignment="1" applyBorder="1" applyFont="1" applyNumberFormat="1">
      <alignment horizontal="center"/>
    </xf>
    <xf borderId="1" fillId="0" fontId="13" numFmtId="169" xfId="0" applyAlignment="1" applyBorder="1" applyFont="1" applyNumberFormat="1">
      <alignment horizontal="center"/>
    </xf>
    <xf borderId="1" fillId="0" fontId="14" numFmtId="169" xfId="0" applyAlignment="1" applyBorder="1" applyFont="1" applyNumberFormat="1">
      <alignment horizontal="center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1" fillId="0" fontId="5" numFmtId="174" xfId="0" applyAlignment="1" applyBorder="1" applyFont="1" applyNumberFormat="1">
      <alignment horizontal="center"/>
    </xf>
    <xf borderId="1" fillId="0" fontId="5" numFmtId="174" xfId="0" applyAlignment="1" applyBorder="1" applyFont="1" applyNumberFormat="1">
      <alignment horizontal="center" readingOrder="0"/>
    </xf>
    <xf borderId="1" fillId="0" fontId="13" numFmtId="174" xfId="0" applyAlignment="1" applyBorder="1" applyFont="1" applyNumberFormat="1">
      <alignment horizontal="center"/>
    </xf>
    <xf borderId="1" fillId="0" fontId="5" numFmtId="174" xfId="0" applyAlignment="1" applyBorder="1" applyFont="1" applyNumberFormat="1">
      <alignment horizontal="center"/>
    </xf>
    <xf borderId="1" fillId="0" fontId="5" numFmtId="168" xfId="0" applyAlignment="1" applyBorder="1" applyFont="1" applyNumberFormat="1">
      <alignment readingOrder="0"/>
    </xf>
    <xf borderId="1" fillId="0" fontId="5" numFmtId="10" xfId="0" applyAlignment="1" applyBorder="1" applyFont="1" applyNumberFormat="1">
      <alignment horizontal="center"/>
    </xf>
    <xf borderId="1" fillId="0" fontId="13" numFmtId="174" xfId="0" applyAlignment="1" applyBorder="1" applyFont="1" applyNumberFormat="1">
      <alignment horizontal="center" readingOrder="0"/>
    </xf>
    <xf borderId="1" fillId="0" fontId="13" numFmtId="174" xfId="0" applyAlignment="1" applyBorder="1" applyFont="1" applyNumberFormat="1">
      <alignment horizontal="center"/>
    </xf>
    <xf borderId="1" fillId="0" fontId="13" numFmtId="168" xfId="0" applyAlignment="1" applyBorder="1" applyFont="1" applyNumberFormat="1">
      <alignment readingOrder="0"/>
    </xf>
    <xf borderId="0" fillId="0" fontId="1" numFmtId="0" xfId="0" applyAlignment="1" applyFont="1">
      <alignment horizontal="center" shrinkToFit="0" vertical="center" wrapText="1"/>
    </xf>
    <xf borderId="4" fillId="0" fontId="16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vertical="center"/>
    </xf>
    <xf borderId="0" fillId="0" fontId="12" numFmtId="0" xfId="0" applyAlignment="1" applyFont="1">
      <alignment horizontal="center" readingOrder="0"/>
    </xf>
    <xf borderId="0" fillId="0" fontId="13" numFmtId="174" xfId="0" applyAlignment="1" applyFont="1" applyNumberFormat="1">
      <alignment horizontal="center"/>
    </xf>
    <xf borderId="0" fillId="0" fontId="13" numFmtId="174" xfId="0" applyAlignment="1" applyFont="1" applyNumberFormat="1">
      <alignment horizontal="center"/>
    </xf>
    <xf quotePrefix="1" borderId="0" fillId="0" fontId="12" numFmtId="0" xfId="0" applyAlignment="1" applyFont="1">
      <alignment horizontal="center" readingOrder="0"/>
    </xf>
    <xf borderId="0" fillId="0" fontId="13" numFmtId="168" xfId="0" applyAlignment="1" applyFont="1" applyNumberFormat="1">
      <alignment readingOrder="0"/>
    </xf>
    <xf borderId="0" fillId="0" fontId="13" numFmtId="10" xfId="0" applyAlignment="1" applyFont="1" applyNumberFormat="1">
      <alignment horizontal="center"/>
    </xf>
    <xf borderId="0" fillId="0" fontId="17" numFmtId="0" xfId="0" applyAlignment="1" applyFont="1">
      <alignment readingOrder="0" shrinkToFit="0" vertical="bottom" wrapText="0"/>
    </xf>
    <xf borderId="0" fillId="0" fontId="17" numFmtId="10" xfId="0" applyAlignment="1" applyFont="1" applyNumberFormat="1">
      <alignment readingOrder="0" shrinkToFit="0" vertical="bottom" wrapText="0"/>
    </xf>
    <xf borderId="0" fillId="0" fontId="13" numFmtId="0" xfId="0" applyAlignment="1" applyFont="1">
      <alignment readingOrder="0"/>
    </xf>
    <xf borderId="1" fillId="0" fontId="5" numFmtId="0" xfId="0" applyAlignment="1" applyBorder="1" applyFont="1">
      <alignment horizontal="center" readingOrder="0"/>
    </xf>
    <xf borderId="0" fillId="0" fontId="13" numFmtId="10" xfId="0" applyFont="1" applyNumberFormat="1"/>
    <xf borderId="0" fillId="0" fontId="13" numFmtId="0" xfId="0" applyFont="1"/>
    <xf borderId="0" fillId="0" fontId="13" numFmtId="4" xfId="0" applyFont="1" applyNumberFormat="1"/>
    <xf borderId="0" fillId="0" fontId="13" numFmtId="4" xfId="0" applyAlignment="1" applyFont="1" applyNumberFormat="1">
      <alignment readingOrder="0"/>
    </xf>
    <xf borderId="0" fillId="0" fontId="13" numFmtId="10" xfId="0" applyAlignment="1" applyFont="1" applyNumberFormat="1">
      <alignment readingOrder="0"/>
    </xf>
    <xf borderId="0" fillId="0" fontId="13" numFmtId="17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9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lastminute.com/" TargetMode="External"/><Relationship Id="rId2" Type="http://schemas.openxmlformats.org/officeDocument/2006/relationships/hyperlink" Target="http://bookings.nl/" TargetMode="External"/><Relationship Id="rId3" Type="http://schemas.openxmlformats.org/officeDocument/2006/relationships/hyperlink" Target="http://lastminute.com/" TargetMode="External"/><Relationship Id="rId4" Type="http://schemas.openxmlformats.org/officeDocument/2006/relationships/hyperlink" Target="http://priceline.com/" TargetMode="External"/><Relationship Id="rId10" Type="http://schemas.openxmlformats.org/officeDocument/2006/relationships/drawing" Target="../drawings/drawing3.xml"/><Relationship Id="rId9" Type="http://schemas.openxmlformats.org/officeDocument/2006/relationships/hyperlink" Target="http://charter.se/" TargetMode="External"/><Relationship Id="rId5" Type="http://schemas.openxmlformats.org/officeDocument/2006/relationships/hyperlink" Target="http://priceline.com/" TargetMode="External"/><Relationship Id="rId6" Type="http://schemas.openxmlformats.org/officeDocument/2006/relationships/hyperlink" Target="http://kiwi.com/" TargetMode="External"/><Relationship Id="rId7" Type="http://schemas.openxmlformats.org/officeDocument/2006/relationships/hyperlink" Target="http://booking.com/" TargetMode="External"/><Relationship Id="rId8" Type="http://schemas.openxmlformats.org/officeDocument/2006/relationships/hyperlink" Target="http://trip.com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6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7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38"/>
  </cols>
  <sheetData>
    <row r="1" ht="72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4" t="s">
        <v>7</v>
      </c>
      <c r="I1" s="2" t="s">
        <v>8</v>
      </c>
      <c r="J1" s="4" t="s">
        <v>9</v>
      </c>
      <c r="K1" s="5" t="s">
        <v>10</v>
      </c>
      <c r="L1" s="3" t="s">
        <v>11</v>
      </c>
      <c r="M1" s="6" t="s">
        <v>12</v>
      </c>
      <c r="N1" s="6" t="s">
        <v>13</v>
      </c>
      <c r="O1" s="7" t="s">
        <v>14</v>
      </c>
      <c r="P1" s="6" t="s">
        <v>15</v>
      </c>
      <c r="Q1" s="8" t="s">
        <v>16</v>
      </c>
      <c r="R1" s="8" t="s">
        <v>17</v>
      </c>
      <c r="S1" s="7" t="s">
        <v>18</v>
      </c>
      <c r="T1" s="9" t="s">
        <v>19</v>
      </c>
      <c r="U1" s="10" t="s">
        <v>20</v>
      </c>
      <c r="V1" s="7" t="s">
        <v>21</v>
      </c>
      <c r="W1" s="7" t="s">
        <v>22</v>
      </c>
      <c r="X1" s="7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2"/>
    </row>
    <row r="2">
      <c r="A2" s="13" t="s">
        <v>29</v>
      </c>
      <c r="B2" s="14" t="str">
        <f t="shared" ref="B2:Q2" si="1">iferror(average(#REF!),"")</f>
        <v/>
      </c>
      <c r="C2" s="14" t="str">
        <f t="shared" si="1"/>
        <v/>
      </c>
      <c r="D2" s="14" t="str">
        <f t="shared" si="1"/>
        <v/>
      </c>
      <c r="E2" s="14" t="str">
        <f t="shared" si="1"/>
        <v/>
      </c>
      <c r="F2" s="14" t="str">
        <f t="shared" si="1"/>
        <v/>
      </c>
      <c r="G2" s="14" t="str">
        <f t="shared" si="1"/>
        <v/>
      </c>
      <c r="H2" s="14" t="str">
        <f t="shared" si="1"/>
        <v/>
      </c>
      <c r="I2" s="14" t="str">
        <f t="shared" si="1"/>
        <v/>
      </c>
      <c r="J2" s="14" t="str">
        <f t="shared" si="1"/>
        <v/>
      </c>
      <c r="K2" s="14" t="str">
        <f t="shared" si="1"/>
        <v/>
      </c>
      <c r="L2" s="14" t="str">
        <f t="shared" si="1"/>
        <v/>
      </c>
      <c r="M2" s="14" t="str">
        <f t="shared" si="1"/>
        <v/>
      </c>
      <c r="N2" s="14" t="str">
        <f t="shared" si="1"/>
        <v/>
      </c>
      <c r="O2" s="14" t="str">
        <f t="shared" si="1"/>
        <v/>
      </c>
      <c r="P2" s="14" t="str">
        <f t="shared" si="1"/>
        <v/>
      </c>
      <c r="Q2" s="14" t="str">
        <f t="shared" si="1"/>
        <v/>
      </c>
      <c r="R2" s="14"/>
      <c r="S2" s="14" t="str">
        <f t="shared" ref="S2:U2" si="2">iferror(average(#REF!),"")</f>
        <v/>
      </c>
      <c r="T2" s="14" t="str">
        <f t="shared" si="2"/>
        <v/>
      </c>
      <c r="U2" s="14" t="str">
        <f t="shared" si="2"/>
        <v/>
      </c>
      <c r="V2" s="12"/>
      <c r="W2" s="12"/>
      <c r="X2" s="12"/>
      <c r="Y2" s="12"/>
      <c r="Z2" s="12"/>
      <c r="AA2" s="12"/>
      <c r="AB2" s="12"/>
      <c r="AC2" s="12"/>
      <c r="AD2" s="12"/>
    </row>
    <row r="3">
      <c r="A3" s="15" t="s">
        <v>30</v>
      </c>
      <c r="B3" s="14" t="str">
        <f>if(TTM!B3="","",iferror(max(min(TTM!B3,1),-0.3),""))</f>
        <v/>
      </c>
      <c r="C3" s="14" t="str">
        <f>if(TTM!C3="","",iferror(max(min(TTM!C3,1),-0.3),""))</f>
        <v/>
      </c>
      <c r="D3" s="14" t="str">
        <f>if(TTM!D3="","",iferror(max(min(TTM!D3,1),-0.3),""))</f>
        <v/>
      </c>
      <c r="E3" s="14" t="str">
        <f>if(TTM!E3="","",iferror(max(min(TTM!E3,1),-0.3),""))</f>
        <v/>
      </c>
      <c r="F3" s="14" t="str">
        <f>if(TTM!F3="","",iferror(max(min(TTM!F3,1),-0.3),""))</f>
        <v/>
      </c>
      <c r="G3" s="14" t="str">
        <f>if(TTM!G3="","",iferror(max(min(TTM!G3,1),-0.3),""))</f>
        <v/>
      </c>
      <c r="H3" s="14" t="str">
        <f>if(TTM!H3="","",iferror(max(min(TTM!H3,1),-0.3),""))</f>
        <v/>
      </c>
      <c r="I3" s="14" t="str">
        <f>if(TTM!I3="","",iferror(max(min(TTM!I3,1),-0.3),""))</f>
        <v/>
      </c>
      <c r="J3" s="14" t="str">
        <f>if(TTM!J3="","",iferror(max(min(TTM!J3,1),-0.3),""))</f>
        <v/>
      </c>
      <c r="K3" s="14" t="str">
        <f>if(TTM!K3="","",iferror(max(min(TTM!K3,1),-0.3),""))</f>
        <v/>
      </c>
      <c r="L3" s="14" t="str">
        <f>if(TTM!L3="","",iferror(max(min(TTM!L3,1),-0.3),""))</f>
        <v/>
      </c>
      <c r="M3" s="14" t="str">
        <f>if(TTM!M3="","",iferror(max(min(TTM!M3,1),-0.3),""))</f>
        <v/>
      </c>
      <c r="N3" s="14" t="str">
        <f>if(TTM!N3="","",iferror(max(min(TTM!N3,1),-0.3),""))</f>
        <v/>
      </c>
      <c r="O3" s="14" t="str">
        <f>if(TTM!O3="","",iferror(max(min(TTM!O3,1),-0.3),""))</f>
        <v/>
      </c>
      <c r="P3" s="14" t="str">
        <f>if(TTM!P3="","",iferror(max(min(TTM!P3,1),-0.3),""))</f>
        <v/>
      </c>
      <c r="Q3" s="14" t="str">
        <f>if(TTM!Q3="","",iferror(max(min(TTM!Q3,1),-0.3),""))</f>
        <v/>
      </c>
      <c r="R3" s="14"/>
      <c r="S3" s="14" t="str">
        <f>if(TTM!S3="","",iferror(max(min(TTM!S3,1),-0.3),""))</f>
        <v/>
      </c>
      <c r="T3" s="14" t="str">
        <f>if(TTM!T3="","",iferror(max(min(TTM!T3,1),-0.3),""))</f>
        <v/>
      </c>
      <c r="U3" s="14" t="str">
        <f>if(TTM!U3="","",iferror(max(min(TTM!U3,1),-0.3),""))</f>
        <v/>
      </c>
      <c r="V3" s="14" t="str">
        <f>if(TTM!V3="","",iferror(max(min(TTM!V3,1),-0.3),""))</f>
        <v/>
      </c>
      <c r="W3" s="14" t="str">
        <f>if(TTM!W3="","",iferror(max(min(TTM!W3,1),-0.3),""))</f>
        <v/>
      </c>
      <c r="X3" s="14" t="str">
        <f>if(TTM!X3="","",iferror(max(min(TTM!X3,1),-0.3),""))</f>
        <v/>
      </c>
      <c r="Y3" s="14" t="str">
        <f>if(TTM!Y3="","",iferror(max(min(TTM!Y3,1),-0.3),""))</f>
        <v/>
      </c>
      <c r="Z3" s="14" t="str">
        <f>if(TTM!Z3="","",iferror(max(min(TTM!Z3,1),-0.3),""))</f>
        <v/>
      </c>
      <c r="AA3" s="14" t="str">
        <f>if(TTM!AA3="","",iferror(max(min(TTM!AA3,1),-0.3),""))</f>
        <v/>
      </c>
      <c r="AB3" s="14" t="str">
        <f>if(TTM!AB3="","",iferror(max(min(TTM!AB3,1),-0.3),""))</f>
        <v/>
      </c>
      <c r="AC3" s="14" t="str">
        <f>if(TTM!AC3="","",iferror(max(min(TTM!AC3,1),-0.3),""))</f>
        <v/>
      </c>
      <c r="AD3" s="12"/>
    </row>
    <row r="4">
      <c r="A4" s="15" t="s">
        <v>31</v>
      </c>
      <c r="B4" s="14" t="str">
        <f>if(TTM!B4="","",iferror(max(min(TTM!B4,1),-0.3),""))</f>
        <v/>
      </c>
      <c r="C4" s="14" t="str">
        <f>if(TTM!C4="","",iferror(max(min(TTM!C4,1),-0.3),""))</f>
        <v/>
      </c>
      <c r="D4" s="14" t="str">
        <f>if(TTM!D4="","",iferror(max(min(TTM!D4,1),-0.3),""))</f>
        <v/>
      </c>
      <c r="E4" s="14" t="str">
        <f>if(TTM!E4="","",iferror(max(min(TTM!E4,1),-0.3),""))</f>
        <v/>
      </c>
      <c r="F4" s="14" t="str">
        <f>if(TTM!F4="","",iferror(max(min(TTM!F4,1),-0.3),""))</f>
        <v/>
      </c>
      <c r="G4" s="14" t="str">
        <f>if(TTM!G4="","",iferror(max(min(TTM!G4,1),-0.3),""))</f>
        <v/>
      </c>
      <c r="H4" s="14" t="str">
        <f>if(TTM!H4="","",iferror(max(min(TTM!H4,1),-0.3),""))</f>
        <v/>
      </c>
      <c r="I4" s="14" t="str">
        <f>if(TTM!I4="","",iferror(max(min(TTM!I4,1),-0.3),""))</f>
        <v/>
      </c>
      <c r="J4" s="14" t="str">
        <f>if(TTM!J4="","",iferror(max(min(TTM!J4,1),-0.3),""))</f>
        <v/>
      </c>
      <c r="K4" s="14" t="str">
        <f>if(TTM!K4="","",iferror(max(min(TTM!K4,1),-0.3),""))</f>
        <v/>
      </c>
      <c r="L4" s="14" t="str">
        <f>if(TTM!L4="","",iferror(max(min(TTM!L4,1),-0.3),""))</f>
        <v/>
      </c>
      <c r="M4" s="14" t="str">
        <f>if(TTM!M4="","",iferror(max(min(TTM!M4,1),-0.3),""))</f>
        <v/>
      </c>
      <c r="N4" s="14" t="str">
        <f>if(TTM!N4="","",iferror(max(min(TTM!N4,1),-0.3),""))</f>
        <v/>
      </c>
      <c r="O4" s="14" t="str">
        <f>if(TTM!O4="","",iferror(max(min(TTM!O4,1),-0.3),""))</f>
        <v/>
      </c>
      <c r="P4" s="14" t="str">
        <f>if(TTM!P4="","",iferror(max(min(TTM!P4,1),-0.3),""))</f>
        <v/>
      </c>
      <c r="Q4" s="14" t="str">
        <f>if(TTM!Q4="","",iferror(max(min(TTM!Q4,1),-0.3),""))</f>
        <v/>
      </c>
      <c r="R4" s="14"/>
      <c r="S4" s="14" t="str">
        <f>if(TTM!S4="","",iferror(max(min(TTM!S4,1),-0.3),""))</f>
        <v/>
      </c>
      <c r="T4" s="14" t="str">
        <f>if(TTM!T4="","",iferror(max(min(TTM!T4,1),-0.3),""))</f>
        <v/>
      </c>
      <c r="U4" s="14" t="str">
        <f>if(TTM!U4="","",iferror(max(min(TTM!U4,1),-0.3),""))</f>
        <v/>
      </c>
      <c r="V4" s="14" t="str">
        <f>if(TTM!V4="","",iferror(max(min(TTM!V4,1),-0.3),""))</f>
        <v/>
      </c>
      <c r="W4" s="14" t="str">
        <f>if(TTM!W4="","",iferror(max(min(TTM!W4,1),-0.3),""))</f>
        <v/>
      </c>
      <c r="X4" s="14" t="str">
        <f>if(TTM!X4="","",iferror(max(min(TTM!X4,1),-0.3),""))</f>
        <v/>
      </c>
      <c r="Y4" s="14" t="str">
        <f>if(TTM!Y4="","",iferror(max(min(TTM!Y4,1),-0.3),""))</f>
        <v/>
      </c>
      <c r="Z4" s="14" t="str">
        <f>if(TTM!Z4="","",iferror(max(min(TTM!Z4,1),-0.3),""))</f>
        <v/>
      </c>
      <c r="AA4" s="14" t="str">
        <f>if(TTM!AA4="","",iferror(max(min(TTM!AA4,1),-0.3),""))</f>
        <v/>
      </c>
      <c r="AB4" s="14" t="str">
        <f>if(TTM!AB4="","",iferror(max(min(TTM!AB4,1),-0.3),""))</f>
        <v/>
      </c>
      <c r="AC4" s="14" t="str">
        <f>if(TTM!AC4="","",iferror(max(min(TTM!AC4,1),-0.3),""))</f>
        <v/>
      </c>
      <c r="AD4" s="12"/>
    </row>
    <row r="5">
      <c r="A5" s="15" t="s">
        <v>32</v>
      </c>
      <c r="B5" s="14" t="str">
        <f>if(TTM!B5="","",iferror(max(min(TTM!B5,1),-0.3),""))</f>
        <v/>
      </c>
      <c r="C5" s="14" t="str">
        <f>if(TTM!C5="","",iferror(max(min(TTM!C5,1),-0.3),""))</f>
        <v/>
      </c>
      <c r="D5" s="14" t="str">
        <f>if(TTM!D5="","",iferror(max(min(TTM!D5,1),-0.3),""))</f>
        <v/>
      </c>
      <c r="E5" s="14" t="str">
        <f>if(TTM!E5="","",iferror(max(min(TTM!E5,1),-0.3),""))</f>
        <v/>
      </c>
      <c r="F5" s="14" t="str">
        <f>if(TTM!F5="","",iferror(max(min(TTM!F5,1),-0.3),""))</f>
        <v/>
      </c>
      <c r="G5" s="14" t="str">
        <f>if(TTM!G5="","",iferror(max(min(TTM!G5,1),-0.3),""))</f>
        <v/>
      </c>
      <c r="H5" s="14" t="str">
        <f>if(TTM!H5="","",iferror(max(min(TTM!H5,1),-0.3),""))</f>
        <v/>
      </c>
      <c r="I5" s="14" t="str">
        <f>if(TTM!I5="","",iferror(max(min(TTM!I5,1),-0.3),""))</f>
        <v/>
      </c>
      <c r="J5" s="14" t="str">
        <f>if(TTM!J5="","",iferror(max(min(TTM!J5,1),-0.3),""))</f>
        <v/>
      </c>
      <c r="K5" s="14" t="str">
        <f>if(TTM!K5="","",iferror(max(min(TTM!K5,1),-0.3),""))</f>
        <v/>
      </c>
      <c r="L5" s="14" t="str">
        <f>if(TTM!L5="","",iferror(max(min(TTM!L5,1),-0.3),""))</f>
        <v/>
      </c>
      <c r="M5" s="14" t="str">
        <f>if(TTM!M5="","",iferror(max(min(TTM!M5,1),-0.3),""))</f>
        <v/>
      </c>
      <c r="N5" s="14" t="str">
        <f>if(TTM!N5="","",iferror(max(min(TTM!N5,1),-0.3),""))</f>
        <v/>
      </c>
      <c r="O5" s="14" t="str">
        <f>if(TTM!O5="","",iferror(max(min(TTM!O5,1),-0.3),""))</f>
        <v/>
      </c>
      <c r="P5" s="14" t="str">
        <f>if(TTM!P5="","",iferror(max(min(TTM!P5,1),-0.3),""))</f>
        <v/>
      </c>
      <c r="Q5" s="14" t="str">
        <f>if(TTM!Q5="","",iferror(max(min(TTM!Q5,1),-0.3),""))</f>
        <v/>
      </c>
      <c r="R5" s="14"/>
      <c r="S5" s="14" t="str">
        <f>if(TTM!S5="","",iferror(max(min(TTM!S5,1),-0.3),""))</f>
        <v/>
      </c>
      <c r="T5" s="14" t="str">
        <f>if(TTM!T5="","",iferror(max(min(TTM!T5,1),-0.3),""))</f>
        <v/>
      </c>
      <c r="U5" s="14" t="str">
        <f>if(TTM!U5="","",iferror(max(min(TTM!U5,1),-0.3),""))</f>
        <v/>
      </c>
      <c r="V5" s="14" t="str">
        <f>if(TTM!V5="","",iferror(max(min(TTM!V5,1),-0.3),""))</f>
        <v/>
      </c>
      <c r="W5" s="14" t="str">
        <f>if(TTM!W5="","",iferror(max(min(TTM!W5,1),-0.3),""))</f>
        <v/>
      </c>
      <c r="X5" s="14" t="str">
        <f>if(TTM!X5="","",iferror(max(min(TTM!X5,1),-0.3),""))</f>
        <v/>
      </c>
      <c r="Y5" s="14" t="str">
        <f>if(TTM!Y5="","",iferror(max(min(TTM!Y5,1),-0.3),""))</f>
        <v/>
      </c>
      <c r="Z5" s="14" t="str">
        <f>if(TTM!Z5="","",iferror(max(min(TTM!Z5,1),-0.3),""))</f>
        <v/>
      </c>
      <c r="AA5" s="14" t="str">
        <f>if(TTM!AA5="","",iferror(max(min(TTM!AA5,1),-0.3),""))</f>
        <v/>
      </c>
      <c r="AB5" s="14" t="str">
        <f>if(TTM!AB5="","",iferror(max(min(TTM!AB5,1),-0.3),""))</f>
        <v/>
      </c>
      <c r="AC5" s="14" t="str">
        <f>if(TTM!AC5="","",iferror(max(min(TTM!AC5,1),-0.3),""))</f>
        <v/>
      </c>
      <c r="AD5" s="12"/>
    </row>
    <row r="6">
      <c r="A6" s="15" t="s">
        <v>33</v>
      </c>
      <c r="B6" s="14" t="str">
        <f>if(TTM!B6="","",iferror(max(min(TTM!B6,1),-0.3),""))</f>
        <v/>
      </c>
      <c r="C6" s="14" t="str">
        <f>if(TTM!C6="","",iferror(max(min(TTM!C6,1),-0.3),""))</f>
        <v/>
      </c>
      <c r="D6" s="14" t="str">
        <f>if(TTM!D6="","",iferror(max(min(TTM!D6,1),-0.3),""))</f>
        <v/>
      </c>
      <c r="E6" s="14" t="str">
        <f>if(TTM!E6="","",iferror(max(min(TTM!E6,1),-0.3),""))</f>
        <v/>
      </c>
      <c r="F6" s="14" t="str">
        <f>if(TTM!F6="","",iferror(max(min(TTM!F6,1),-0.3),""))</f>
        <v/>
      </c>
      <c r="G6" s="14" t="str">
        <f>if(TTM!G6="","",iferror(max(min(TTM!G6,1),-0.3),""))</f>
        <v/>
      </c>
      <c r="H6" s="14" t="str">
        <f>if(TTM!H6="","",iferror(max(min(TTM!H6,1),-0.3),""))</f>
        <v/>
      </c>
      <c r="I6" s="14" t="str">
        <f>if(TTM!I6="","",iferror(max(min(TTM!I6,1),-0.3),""))</f>
        <v/>
      </c>
      <c r="J6" s="14" t="str">
        <f>if(TTM!J6="","",iferror(max(min(TTM!J6,1),-0.3),""))</f>
        <v/>
      </c>
      <c r="K6" s="14" t="str">
        <f>if(TTM!K6="","",iferror(max(min(TTM!K6,1),-0.3),""))</f>
        <v/>
      </c>
      <c r="L6" s="14" t="str">
        <f>if(TTM!L6="","",iferror(max(min(TTM!L6,1),-0.3),""))</f>
        <v/>
      </c>
      <c r="M6" s="14" t="str">
        <f>if(TTM!M6="","",iferror(max(min(TTM!M6,1),-0.3),""))</f>
        <v/>
      </c>
      <c r="N6" s="14" t="str">
        <f>if(TTM!N6="","",iferror(max(min(TTM!N6,1),-0.3),""))</f>
        <v/>
      </c>
      <c r="O6" s="14" t="str">
        <f>if(TTM!O6="","",iferror(max(min(TTM!O6,1),-0.3),""))</f>
        <v/>
      </c>
      <c r="P6" s="14" t="str">
        <f>if(TTM!P6="","",iferror(max(min(TTM!P6,1),-0.3),""))</f>
        <v/>
      </c>
      <c r="Q6" s="14" t="str">
        <f>if(TTM!Q6="","",iferror(max(min(TTM!Q6,1),-0.3),""))</f>
        <v/>
      </c>
      <c r="R6" s="14"/>
      <c r="S6" s="14" t="str">
        <f>if(TTM!S6="","",iferror(max(min(TTM!S6,1),-0.3),""))</f>
        <v/>
      </c>
      <c r="T6" s="14" t="str">
        <f>if(TTM!T6="","",iferror(max(min(TTM!T6,1),-0.3),""))</f>
        <v/>
      </c>
      <c r="U6" s="14" t="str">
        <f>if(TTM!U6="","",iferror(max(min(TTM!U6,1),-0.3),""))</f>
        <v/>
      </c>
      <c r="V6" s="14" t="str">
        <f>if(TTM!V6="","",iferror(max(min(TTM!V6,1),-0.3),""))</f>
        <v/>
      </c>
      <c r="W6" s="14" t="str">
        <f>if(TTM!W6="","",iferror(max(min(TTM!W6,1),-0.3),""))</f>
        <v/>
      </c>
      <c r="X6" s="14" t="str">
        <f>if(TTM!X6="","",iferror(max(min(TTM!X6,1),-0.3),""))</f>
        <v/>
      </c>
      <c r="Y6" s="14" t="str">
        <f>if(TTM!Y6="","",iferror(max(min(TTM!Y6,1),-0.3),""))</f>
        <v/>
      </c>
      <c r="Z6" s="14" t="str">
        <f>if(TTM!Z6="","",iferror(max(min(TTM!Z6,1),-0.3),""))</f>
        <v/>
      </c>
      <c r="AA6" s="14" t="str">
        <f>if(TTM!AA6="","",iferror(max(min(TTM!AA6,1),-0.3),""))</f>
        <v/>
      </c>
      <c r="AB6" s="14" t="str">
        <f>if(TTM!AB6="","",iferror(max(min(TTM!AB6,1),-0.3),""))</f>
        <v/>
      </c>
      <c r="AC6" s="14" t="str">
        <f>if(TTM!AC6="","",iferror(max(min(TTM!AC6,1),-0.3),""))</f>
        <v/>
      </c>
      <c r="AD6" s="12"/>
    </row>
    <row r="7">
      <c r="A7" s="15" t="s">
        <v>34</v>
      </c>
      <c r="B7" s="14" t="str">
        <f>if(TTM!B7="","",iferror(max(min(TTM!B7,1),-0.3),""))</f>
        <v/>
      </c>
      <c r="C7" s="14" t="str">
        <f>if(TTM!C7="","",iferror(max(min(TTM!C7,1),-0.3),""))</f>
        <v/>
      </c>
      <c r="D7" s="14" t="str">
        <f>if(TTM!D7="","",iferror(max(min(TTM!D7,1),-0.3),""))</f>
        <v/>
      </c>
      <c r="E7" s="14" t="str">
        <f>if(TTM!E7="","",iferror(max(min(TTM!E7,1),-0.3),""))</f>
        <v/>
      </c>
      <c r="F7" s="14" t="str">
        <f>if(TTM!F7="","",iferror(max(min(TTM!F7,1),-0.3),""))</f>
        <v/>
      </c>
      <c r="G7" s="14" t="str">
        <f>if(TTM!G7="","",iferror(max(min(TTM!G7,1),-0.3),""))</f>
        <v/>
      </c>
      <c r="H7" s="14" t="str">
        <f>if(TTM!H7="","",iferror(max(min(TTM!H7,1),-0.3),""))</f>
        <v/>
      </c>
      <c r="I7" s="14" t="str">
        <f>if(TTM!I7="","",iferror(max(min(TTM!I7,1),-0.3),""))</f>
        <v/>
      </c>
      <c r="J7" s="14" t="str">
        <f>if(TTM!J7="","",iferror(max(min(TTM!J7,1),-0.3),""))</f>
        <v/>
      </c>
      <c r="K7" s="14" t="str">
        <f>if(TTM!K7="","",iferror(max(min(TTM!K7,1),-0.3),""))</f>
        <v/>
      </c>
      <c r="L7" s="14" t="str">
        <f>if(TTM!L7="","",iferror(max(min(TTM!L7,1),-0.3),""))</f>
        <v/>
      </c>
      <c r="M7" s="14" t="str">
        <f>if(TTM!M7="","",iferror(max(min(TTM!M7,1),-0.3),""))</f>
        <v/>
      </c>
      <c r="N7" s="14" t="str">
        <f>if(TTM!N7="","",iferror(max(min(TTM!N7,1),-0.3),""))</f>
        <v/>
      </c>
      <c r="O7" s="14" t="str">
        <f>if(TTM!O7="","",iferror(max(min(TTM!O7,1),-0.3),""))</f>
        <v/>
      </c>
      <c r="P7" s="14" t="str">
        <f>if(TTM!P7="","",iferror(max(min(TTM!P7,1),-0.3),""))</f>
        <v/>
      </c>
      <c r="Q7" s="14" t="str">
        <f>if(TTM!Q7="","",iferror(max(min(TTM!Q7,1),-0.3),""))</f>
        <v/>
      </c>
      <c r="R7" s="14"/>
      <c r="S7" s="14" t="str">
        <f>if(TTM!S7="","",iferror(max(min(TTM!S7,1),-0.3),""))</f>
        <v/>
      </c>
      <c r="T7" s="14" t="str">
        <f>if(TTM!T7="","",iferror(max(min(TTM!T7,1),-0.3),""))</f>
        <v/>
      </c>
      <c r="U7" s="14" t="str">
        <f>if(TTM!U7="","",iferror(max(min(TTM!U7,1),-0.3),""))</f>
        <v/>
      </c>
      <c r="V7" s="14" t="str">
        <f>if(TTM!V7="","",iferror(max(min(TTM!V7,1),-0.3),""))</f>
        <v/>
      </c>
      <c r="W7" s="14">
        <f>if(TTM!W7="","",iferror(max(min(TTM!W7,1),-0.3),""))</f>
        <v>1</v>
      </c>
      <c r="X7" s="14">
        <f>if(TTM!X7="","",iferror(max(min(TTM!X7,1),-0.3),""))</f>
        <v>0.007378704182</v>
      </c>
      <c r="Y7" s="14" t="str">
        <f>if(TTM!Y7="","",iferror(max(min(TTM!Y7,1),-0.3),""))</f>
        <v/>
      </c>
      <c r="Z7" s="14" t="str">
        <f>if(TTM!Z7="","",iferror(max(min(TTM!Z7,1),-0.3),""))</f>
        <v/>
      </c>
      <c r="AA7" s="14" t="str">
        <f>if(TTM!AA7="","",iferror(max(min(TTM!AA7,1),-0.3),""))</f>
        <v/>
      </c>
      <c r="AB7" s="14" t="str">
        <f>if(TTM!AB7="","",iferror(max(min(TTM!AB7,1),-0.3),""))</f>
        <v/>
      </c>
      <c r="AC7" s="14" t="str">
        <f>if(TTM!AC7="","",iferror(max(min(TTM!AC7,1),-0.3),""))</f>
        <v/>
      </c>
      <c r="AD7" s="12"/>
    </row>
    <row r="8">
      <c r="A8" s="15" t="s">
        <v>35</v>
      </c>
      <c r="B8" s="14" t="str">
        <f>if(TTM!B8="","",iferror(max(min(TTM!B8,1),-0.3),""))</f>
        <v/>
      </c>
      <c r="C8" s="14" t="str">
        <f>if(TTM!C8="","",iferror(max(min(TTM!C8,1),-0.3),""))</f>
        <v/>
      </c>
      <c r="D8" s="14" t="str">
        <f>if(TTM!D8="","",iferror(max(min(TTM!D8,1),-0.3),""))</f>
        <v/>
      </c>
      <c r="E8" s="14" t="str">
        <f>if(TTM!E8="","",iferror(max(min(TTM!E8,1),-0.3),""))</f>
        <v/>
      </c>
      <c r="F8" s="14" t="str">
        <f>if(TTM!F8="","",iferror(max(min(TTM!F8,1),-0.3),""))</f>
        <v/>
      </c>
      <c r="G8" s="14" t="str">
        <f>if(TTM!G8="","",iferror(max(min(TTM!G8,1),-0.3),""))</f>
        <v/>
      </c>
      <c r="H8" s="14" t="str">
        <f>if(TTM!H8="","",iferror(max(min(TTM!H8,1),-0.3),""))</f>
        <v/>
      </c>
      <c r="I8" s="14" t="str">
        <f>if(TTM!I8="","",iferror(max(min(TTM!I8,1),-0.3),""))</f>
        <v/>
      </c>
      <c r="J8" s="14" t="str">
        <f>if(TTM!J8="","",iferror(max(min(TTM!J8,1),-0.3),""))</f>
        <v/>
      </c>
      <c r="K8" s="14" t="str">
        <f>if(TTM!K8="","",iferror(max(min(TTM!K8,1),-0.3),""))</f>
        <v/>
      </c>
      <c r="L8" s="14" t="str">
        <f>if(TTM!L8="","",iferror(max(min(TTM!L8,1),-0.3),""))</f>
        <v/>
      </c>
      <c r="M8" s="14" t="str">
        <f>if(TTM!M8="","",iferror(max(min(TTM!M8,1),-0.3),""))</f>
        <v/>
      </c>
      <c r="N8" s="14" t="str">
        <f>if(TTM!N8="","",iferror(max(min(TTM!N8,1),-0.3),""))</f>
        <v/>
      </c>
      <c r="O8" s="14" t="str">
        <f>if(TTM!O8="","",iferror(max(min(TTM!O8,1),-0.3),""))</f>
        <v/>
      </c>
      <c r="P8" s="14" t="str">
        <f>if(TTM!P8="","",iferror(max(min(TTM!P8,1),-0.3),""))</f>
        <v/>
      </c>
      <c r="Q8" s="14" t="str">
        <f>if(TTM!Q8="","",iferror(max(min(TTM!Q8,1),-0.3),""))</f>
        <v/>
      </c>
      <c r="R8" s="14"/>
      <c r="S8" s="14" t="str">
        <f>if(TTM!S8="","",iferror(max(min(TTM!S8,1),-0.3),""))</f>
        <v/>
      </c>
      <c r="T8" s="14" t="str">
        <f>if(TTM!T8="","",iferror(max(min(TTM!T8,1),-0.3),""))</f>
        <v/>
      </c>
      <c r="U8" s="14" t="str">
        <f>if(TTM!U8="","",iferror(max(min(TTM!U8,1),-0.3),""))</f>
        <v/>
      </c>
      <c r="V8" s="14" t="str">
        <f>if(TTM!V8="","",iferror(max(min(TTM!V8,1),-0.3),""))</f>
        <v/>
      </c>
      <c r="W8" s="14">
        <f>if(TTM!W8="","",iferror(max(min(TTM!W8,1),-0.3),""))</f>
        <v>1</v>
      </c>
      <c r="X8" s="14">
        <f>if(TTM!X8="","",iferror(max(min(TTM!X8,1),-0.3),""))</f>
        <v>0.007378704182</v>
      </c>
      <c r="Y8" s="14" t="str">
        <f>if(TTM!Y8="","",iferror(max(min(TTM!Y8,1),-0.3),""))</f>
        <v/>
      </c>
      <c r="Z8" s="14" t="str">
        <f>if(TTM!Z8="","",iferror(max(min(TTM!Z8,1),-0.3),""))</f>
        <v/>
      </c>
      <c r="AA8" s="14" t="str">
        <f>if(TTM!AA8="","",iferror(max(min(TTM!AA8,1),-0.3),""))</f>
        <v/>
      </c>
      <c r="AB8" s="14" t="str">
        <f>if(TTM!AB8="","",iferror(max(min(TTM!AB8,1),-0.3),""))</f>
        <v/>
      </c>
      <c r="AC8" s="14" t="str">
        <f>if(TTM!AC8="","",iferror(max(min(TTM!AC8,1),-0.3),""))</f>
        <v/>
      </c>
      <c r="AD8" s="12"/>
    </row>
    <row r="9">
      <c r="A9" s="15" t="s">
        <v>36</v>
      </c>
      <c r="B9" s="14" t="str">
        <f>if(TTM!B9="","",iferror(max(min(TTM!B9,1),-0.3),""))</f>
        <v/>
      </c>
      <c r="C9" s="14" t="str">
        <f>if(TTM!C9="","",iferror(max(min(TTM!C9,1),-0.3),""))</f>
        <v/>
      </c>
      <c r="D9" s="14" t="str">
        <f>if(TTM!D9="","",iferror(max(min(TTM!D9,1),-0.3),""))</f>
        <v/>
      </c>
      <c r="E9" s="14" t="str">
        <f>if(TTM!E9="","",iferror(max(min(TTM!E9,1),-0.3),""))</f>
        <v/>
      </c>
      <c r="F9" s="14" t="str">
        <f>if(TTM!F9="","",iferror(max(min(TTM!F9,1),-0.3),""))</f>
        <v/>
      </c>
      <c r="G9" s="14" t="str">
        <f>if(TTM!G9="","",iferror(max(min(TTM!G9,1),-0.3),""))</f>
        <v/>
      </c>
      <c r="H9" s="14" t="str">
        <f>if(TTM!H9="","",iferror(max(min(TTM!H9,1),-0.3),""))</f>
        <v/>
      </c>
      <c r="I9" s="14" t="str">
        <f>if(TTM!I9="","",iferror(max(min(TTM!I9,1),-0.3),""))</f>
        <v/>
      </c>
      <c r="J9" s="14" t="str">
        <f>if(TTM!J9="","",iferror(max(min(TTM!J9,1),-0.3),""))</f>
        <v/>
      </c>
      <c r="K9" s="14" t="str">
        <f>if(TTM!K9="","",iferror(max(min(TTM!K9,1),-0.3),""))</f>
        <v/>
      </c>
      <c r="L9" s="14" t="str">
        <f>if(TTM!L9="","",iferror(max(min(TTM!L9,1),-0.3),""))</f>
        <v/>
      </c>
      <c r="M9" s="14" t="str">
        <f>if(TTM!M9="","",iferror(max(min(TTM!M9,1),-0.3),""))</f>
        <v/>
      </c>
      <c r="N9" s="14" t="str">
        <f>if(TTM!N9="","",iferror(max(min(TTM!N9,1),-0.3),""))</f>
        <v/>
      </c>
      <c r="O9" s="14" t="str">
        <f>if(TTM!O9="","",iferror(max(min(TTM!O9,1),-0.3),""))</f>
        <v/>
      </c>
      <c r="P9" s="14" t="str">
        <f>if(TTM!P9="","",iferror(max(min(TTM!P9,1),-0.3),""))</f>
        <v/>
      </c>
      <c r="Q9" s="14" t="str">
        <f>if(TTM!Q9="","",iferror(max(min(TTM!Q9,1),-0.3),""))</f>
        <v/>
      </c>
      <c r="R9" s="14"/>
      <c r="S9" s="14" t="str">
        <f>if(TTM!S9="","",iferror(max(min(TTM!S9,1),-0.3),""))</f>
        <v/>
      </c>
      <c r="T9" s="14" t="str">
        <f>if(TTM!T9="","",iferror(max(min(TTM!T9,1),-0.3),""))</f>
        <v/>
      </c>
      <c r="U9" s="14" t="str">
        <f>if(TTM!U9="","",iferror(max(min(TTM!U9,1),-0.3),""))</f>
        <v/>
      </c>
      <c r="V9" s="14" t="str">
        <f>if(TTM!V9="","",iferror(max(min(TTM!V9,1),-0.3),""))</f>
        <v/>
      </c>
      <c r="W9" s="14">
        <f>if(TTM!W9="","",iferror(max(min(TTM!W9,1),-0.3),""))</f>
        <v>1</v>
      </c>
      <c r="X9" s="14">
        <f>if(TTM!X9="","",iferror(max(min(TTM!X9,1),-0.3),""))</f>
        <v>0.1080708603</v>
      </c>
      <c r="Y9" s="14" t="str">
        <f>if(TTM!Y9="","",iferror(max(min(TTM!Y9,1),-0.3),""))</f>
        <v/>
      </c>
      <c r="Z9" s="14" t="str">
        <f>if(TTM!Z9="","",iferror(max(min(TTM!Z9,1),-0.3),""))</f>
        <v/>
      </c>
      <c r="AA9" s="14" t="str">
        <f>if(TTM!AA9="","",iferror(max(min(TTM!AA9,1),-0.3),""))</f>
        <v/>
      </c>
      <c r="AB9" s="14" t="str">
        <f>if(TTM!AB9="","",iferror(max(min(TTM!AB9,1),-0.3),""))</f>
        <v/>
      </c>
      <c r="AC9" s="14" t="str">
        <f>if(TTM!AC9="","",iferror(max(min(TTM!AC9,1),-0.3),""))</f>
        <v/>
      </c>
      <c r="AD9" s="12"/>
    </row>
    <row r="10">
      <c r="A10" s="15" t="s">
        <v>37</v>
      </c>
      <c r="B10" s="14" t="str">
        <f>if(TTM!B10="","",iferror(max(min(TTM!B10,1),-0.3),""))</f>
        <v/>
      </c>
      <c r="C10" s="14" t="str">
        <f>if(TTM!C10="","",iferror(max(min(TTM!C10,1),-0.3),""))</f>
        <v/>
      </c>
      <c r="D10" s="14" t="str">
        <f>if(TTM!D10="","",iferror(max(min(TTM!D10,1),-0.3),""))</f>
        <v/>
      </c>
      <c r="E10" s="14" t="str">
        <f>if(TTM!E10="","",iferror(max(min(TTM!E10,1),-0.3),""))</f>
        <v/>
      </c>
      <c r="F10" s="14" t="str">
        <f>if(TTM!F10="","",iferror(max(min(TTM!F10,1),-0.3),""))</f>
        <v/>
      </c>
      <c r="G10" s="14" t="str">
        <f>if(TTM!G10="","",iferror(max(min(TTM!G10,1),-0.3),""))</f>
        <v/>
      </c>
      <c r="H10" s="14" t="str">
        <f>if(TTM!H10="","",iferror(max(min(TTM!H10,1),-0.3),""))</f>
        <v/>
      </c>
      <c r="I10" s="14" t="str">
        <f>if(TTM!I10="","",iferror(max(min(TTM!I10,1),-0.3),""))</f>
        <v/>
      </c>
      <c r="J10" s="14" t="str">
        <f>if(TTM!J10="","",iferror(max(min(TTM!J10,1),-0.3),""))</f>
        <v/>
      </c>
      <c r="K10" s="14" t="str">
        <f>if(TTM!K10="","",iferror(max(min(TTM!K10,1),-0.3),""))</f>
        <v/>
      </c>
      <c r="L10" s="14" t="str">
        <f>if(TTM!L10="","",iferror(max(min(TTM!L10,1),-0.3),""))</f>
        <v/>
      </c>
      <c r="M10" s="14" t="str">
        <f>if(TTM!M10="","",iferror(max(min(TTM!M10,1),-0.3),""))</f>
        <v/>
      </c>
      <c r="N10" s="14" t="str">
        <f>if(TTM!N10="","",iferror(max(min(TTM!N10,1),-0.3),""))</f>
        <v/>
      </c>
      <c r="O10" s="14" t="str">
        <f>if(TTM!O10="","",iferror(max(min(TTM!O10,1),-0.3),""))</f>
        <v/>
      </c>
      <c r="P10" s="14" t="str">
        <f>if(TTM!P10="","",iferror(max(min(TTM!P10,1),-0.3),""))</f>
        <v/>
      </c>
      <c r="Q10" s="14" t="str">
        <f>if(TTM!Q10="","",iferror(max(min(TTM!Q10,1),-0.3),""))</f>
        <v/>
      </c>
      <c r="R10" s="14"/>
      <c r="S10" s="14" t="str">
        <f>if(TTM!S10="","",iferror(max(min(TTM!S10,1),-0.3),""))</f>
        <v/>
      </c>
      <c r="T10" s="14" t="str">
        <f>if(TTM!T10="","",iferror(max(min(TTM!T10,1),-0.3),""))</f>
        <v/>
      </c>
      <c r="U10" s="14" t="str">
        <f>if(TTM!U10="","",iferror(max(min(TTM!U10,1),-0.3),""))</f>
        <v/>
      </c>
      <c r="V10" s="14" t="str">
        <f>if(TTM!V10="","",iferror(max(min(TTM!V10,1),-0.3),""))</f>
        <v/>
      </c>
      <c r="W10" s="14">
        <f>if(TTM!W10="","",iferror(max(min(TTM!W10,1),-0.3),""))</f>
        <v>1</v>
      </c>
      <c r="X10" s="14">
        <f>if(TTM!X10="","",iferror(max(min(TTM!X10,1),-0.3),""))</f>
        <v>0.1584169384</v>
      </c>
      <c r="Y10" s="14" t="str">
        <f>if(TTM!Y10="","",iferror(max(min(TTM!Y10,1),-0.3),""))</f>
        <v/>
      </c>
      <c r="Z10" s="14" t="str">
        <f>if(TTM!Z10="","",iferror(max(min(TTM!Z10,1),-0.3),""))</f>
        <v/>
      </c>
      <c r="AA10" s="14" t="str">
        <f>if(TTM!AA10="","",iferror(max(min(TTM!AA10,1),-0.3),""))</f>
        <v/>
      </c>
      <c r="AB10" s="14" t="str">
        <f>if(TTM!AB10="","",iferror(max(min(TTM!AB10,1),-0.3),""))</f>
        <v/>
      </c>
      <c r="AC10" s="14" t="str">
        <f>if(TTM!AC10="","",iferror(max(min(TTM!AC10,1),-0.3),""))</f>
        <v/>
      </c>
      <c r="AD10" s="12"/>
    </row>
    <row r="11">
      <c r="A11" s="15" t="s">
        <v>38</v>
      </c>
      <c r="B11" s="14" t="str">
        <f>if(TTM!B11="","",iferror(max(min(TTM!B11,1),-0.3),""))</f>
        <v/>
      </c>
      <c r="C11" s="14" t="str">
        <f>if(TTM!C11="","",iferror(max(min(TTM!C11,1),-0.3),""))</f>
        <v/>
      </c>
      <c r="D11" s="14"/>
      <c r="E11" s="14" t="str">
        <f>if(TTM!E11="","",iferror(max(min(TTM!E11,1),-0.3),""))</f>
        <v/>
      </c>
      <c r="F11" s="14" t="str">
        <f>if(TTM!F11="","",iferror(max(min(TTM!F11,1),-0.3),""))</f>
        <v/>
      </c>
      <c r="G11" s="14" t="str">
        <f>if(TTM!G11="","",iferror(max(min(TTM!G11,1),-0.3),""))</f>
        <v/>
      </c>
      <c r="H11" s="14" t="str">
        <f>if(TTM!H11="","",iferror(max(min(TTM!H11,1),-0.3),""))</f>
        <v/>
      </c>
      <c r="I11" s="14" t="str">
        <f>if(TTM!I11="","",iferror(max(min(TTM!I11,1),-0.3),""))</f>
        <v/>
      </c>
      <c r="J11" s="14" t="str">
        <f>if(TTM!J11="","",iferror(max(min(TTM!J11,1),-0.3),""))</f>
        <v/>
      </c>
      <c r="K11" s="14" t="str">
        <f>if(TTM!K11="","",iferror(max(min(TTM!K11,1),-0.3),""))</f>
        <v/>
      </c>
      <c r="L11" s="14" t="str">
        <f>if(TTM!L11="","",iferror(max(min(TTM!L11,1),-0.3),""))</f>
        <v/>
      </c>
      <c r="M11" s="14" t="str">
        <f>if(TTM!M11="","",iferror(max(min(TTM!M11,1),-0.3),""))</f>
        <v/>
      </c>
      <c r="N11" s="14" t="str">
        <f>if(TTM!N11="","",iferror(max(min(TTM!N11,1),-0.3),""))</f>
        <v/>
      </c>
      <c r="O11" s="14" t="str">
        <f>if(TTM!O11="","",iferror(max(min(TTM!O11,1),-0.3),""))</f>
        <v/>
      </c>
      <c r="P11" s="14" t="str">
        <f>if(TTM!P11="","",iferror(max(min(TTM!P11,1),-0.3),""))</f>
        <v/>
      </c>
      <c r="Q11" s="14" t="str">
        <f>if(TTM!Q11="","",iferror(max(min(TTM!Q11,1),-0.3),""))</f>
        <v/>
      </c>
      <c r="R11" s="14"/>
      <c r="S11" s="14" t="str">
        <f>if(TTM!S11="","",iferror(max(min(TTM!S11,1),-0.3),""))</f>
        <v/>
      </c>
      <c r="T11" s="14" t="str">
        <f>if(TTM!T11="","",iferror(max(min(TTM!T11,1),-0.3),""))</f>
        <v/>
      </c>
      <c r="U11" s="14" t="str">
        <f>if(TTM!U11="","",iferror(max(min(TTM!U11,1),-0.3),""))</f>
        <v/>
      </c>
      <c r="V11" s="14" t="str">
        <f>if(TTM!V11="","",iferror(max(min(TTM!V11,1),-0.3),""))</f>
        <v/>
      </c>
      <c r="W11" s="14">
        <f>if(TTM!W11="","",iferror(max(min(TTM!W11,1),-0.3),""))</f>
        <v>1</v>
      </c>
      <c r="X11" s="14">
        <f>if(TTM!X11="","",iferror(max(min(TTM!X11,1),-0.3),""))</f>
        <v>0.2339360554</v>
      </c>
      <c r="Y11" s="14" t="str">
        <f>if(TTM!Y11="","",iferror(max(min(TTM!Y11,1),-0.3),""))</f>
        <v/>
      </c>
      <c r="Z11" s="14" t="str">
        <f>if(TTM!Z11="","",iferror(max(min(TTM!Z11,1),-0.3),""))</f>
        <v/>
      </c>
      <c r="AA11" s="14" t="str">
        <f>if(TTM!AA11="","",iferror(max(min(TTM!AA11,1),-0.3),""))</f>
        <v/>
      </c>
      <c r="AB11" s="14" t="str">
        <f>if(TTM!AB11="","",iferror(max(min(TTM!AB11,1),-0.3),""))</f>
        <v/>
      </c>
      <c r="AC11" s="14" t="str">
        <f>if(TTM!AC11="","",iferror(max(min(TTM!AC11,1),-0.3),""))</f>
        <v/>
      </c>
      <c r="AD11" s="12"/>
    </row>
    <row r="12">
      <c r="A12" s="15" t="s">
        <v>39</v>
      </c>
      <c r="B12" s="14" t="str">
        <f>if(TTM!B12="","",iferror(max(min(TTM!B12,1),-0.3),""))</f>
        <v/>
      </c>
      <c r="C12" s="14" t="str">
        <f>if(TTM!C12="","",iferror(max(min(TTM!C12,1),-0.3),""))</f>
        <v/>
      </c>
      <c r="D12" s="14"/>
      <c r="E12" s="14" t="str">
        <f>if(TTM!E12="","",iferror(max(min(TTM!E12,1),-0.3),""))</f>
        <v/>
      </c>
      <c r="F12" s="14" t="str">
        <f>if(TTM!F12="","",iferror(max(min(TTM!F12,1),-0.3),""))</f>
        <v/>
      </c>
      <c r="G12" s="14" t="str">
        <f>if(TTM!G12="","",iferror(max(min(TTM!G12,1),-0.3),""))</f>
        <v/>
      </c>
      <c r="H12" s="14" t="str">
        <f>if(TTM!H12="","",iferror(max(min(TTM!H12,1),-0.3),""))</f>
        <v/>
      </c>
      <c r="I12" s="14" t="str">
        <f>if(TTM!I12="","",iferror(max(min(TTM!I12,1),-0.3),""))</f>
        <v/>
      </c>
      <c r="J12" s="14" t="str">
        <f>if(TTM!J12="","",iferror(max(min(TTM!J12,1),-0.3),""))</f>
        <v/>
      </c>
      <c r="K12" s="14" t="str">
        <f>if(TTM!K12="","",iferror(max(min(TTM!K12,1),-0.3),""))</f>
        <v/>
      </c>
      <c r="L12" s="14" t="str">
        <f>if(TTM!L12="","",iferror(max(min(TTM!L12,1),-0.3),""))</f>
        <v/>
      </c>
      <c r="M12" s="14" t="str">
        <f>if(TTM!M12="","",iferror(max(min(TTM!M12,1),-0.3),""))</f>
        <v/>
      </c>
      <c r="N12" s="14" t="str">
        <f>if(TTM!N12="","",iferror(max(min(TTM!N12,1),-0.3),""))</f>
        <v/>
      </c>
      <c r="O12" s="14" t="str">
        <f>if(TTM!O12="","",iferror(max(min(TTM!O12,1),-0.3),""))</f>
        <v/>
      </c>
      <c r="P12" s="14" t="str">
        <f>if(TTM!P12="","",iferror(max(min(TTM!P12,1),-0.3),""))</f>
        <v/>
      </c>
      <c r="Q12" s="14" t="str">
        <f>if(TTM!Q12="","",iferror(max(min(TTM!Q12,1),-0.3),""))</f>
        <v/>
      </c>
      <c r="R12" s="14"/>
      <c r="S12" s="14" t="str">
        <f>if(TTM!S12="","",iferror(max(min(TTM!S12,1),-0.3),""))</f>
        <v/>
      </c>
      <c r="T12" s="14" t="str">
        <f>if(TTM!T12="","",iferror(max(min(TTM!T12,1),-0.3),""))</f>
        <v/>
      </c>
      <c r="U12" s="14" t="str">
        <f>if(TTM!U12="","",iferror(max(min(TTM!U12,1),-0.3),""))</f>
        <v/>
      </c>
      <c r="V12" s="14" t="str">
        <f>if(TTM!V12="","",iferror(max(min(TTM!V12,1),-0.3),""))</f>
        <v/>
      </c>
      <c r="W12" s="14">
        <f>if(TTM!W12="","",iferror(max(min(TTM!W12,1),-0.3),""))</f>
        <v>1</v>
      </c>
      <c r="X12" s="14">
        <f>if(TTM!X12="","",iferror(max(min(TTM!X12,1),-0.3),""))</f>
        <v>0.3094551725</v>
      </c>
      <c r="Y12" s="14" t="str">
        <f>if(TTM!Y12="","",iferror(max(min(TTM!Y12,1),-0.3),""))</f>
        <v/>
      </c>
      <c r="Z12" s="14" t="str">
        <f>if(TTM!Z12="","",iferror(max(min(TTM!Z12,1),-0.3),""))</f>
        <v/>
      </c>
      <c r="AA12" s="14" t="str">
        <f>if(TTM!AA12="","",iferror(max(min(TTM!AA12,1),-0.3),""))</f>
        <v/>
      </c>
      <c r="AB12" s="14" t="str">
        <f>if(TTM!AB12="","",iferror(max(min(TTM!AB12,1),-0.3),""))</f>
        <v/>
      </c>
      <c r="AC12" s="14" t="str">
        <f>if(TTM!AC12="","",iferror(max(min(TTM!AC12,1),-0.3),""))</f>
        <v/>
      </c>
      <c r="AD12" s="12"/>
    </row>
    <row r="13">
      <c r="A13" s="15" t="s">
        <v>40</v>
      </c>
      <c r="B13" s="14" t="str">
        <f>if(TTM!B13="","",iferror(max(min(TTM!B13,1),-0.3),""))</f>
        <v/>
      </c>
      <c r="C13" s="14" t="str">
        <f>if(TTM!C13="","",iferror(max(min(TTM!C13,1),-0.3),""))</f>
        <v/>
      </c>
      <c r="D13" s="14"/>
      <c r="E13" s="14" t="str">
        <f>if(TTM!E13="","",iferror(max(min(TTM!E13,1),-0.3),""))</f>
        <v/>
      </c>
      <c r="F13" s="14" t="str">
        <f>if(TTM!F13="","",iferror(max(min(TTM!F13,1),-0.3),""))</f>
        <v/>
      </c>
      <c r="G13" s="14" t="str">
        <f>if(TTM!G13="","",iferror(max(min(TTM!G13,1),-0.3),""))</f>
        <v/>
      </c>
      <c r="H13" s="14" t="str">
        <f>if(TTM!H13="","",iferror(max(min(TTM!H13,1),-0.3),""))</f>
        <v/>
      </c>
      <c r="I13" s="14" t="str">
        <f>if(TTM!I13="","",iferror(max(min(TTM!I13,1),-0.3),""))</f>
        <v/>
      </c>
      <c r="J13" s="14" t="str">
        <f>if(TTM!J13="","",iferror(max(min(TTM!J13,1),-0.3),""))</f>
        <v/>
      </c>
      <c r="K13" s="14" t="str">
        <f>if(TTM!K13="","",iferror(max(min(TTM!K13,1),-0.3),""))</f>
        <v/>
      </c>
      <c r="L13" s="14" t="str">
        <f>if(TTM!L13="","",iferror(max(min(TTM!L13,1),-0.3),""))</f>
        <v/>
      </c>
      <c r="M13" s="14" t="str">
        <f>if(TTM!M13="","",iferror(max(min(TTM!M13,1),-0.3),""))</f>
        <v/>
      </c>
      <c r="N13" s="14" t="str">
        <f>if(TTM!N13="","",iferror(max(min(TTM!N13,1),-0.3),""))</f>
        <v/>
      </c>
      <c r="O13" s="14" t="str">
        <f>if(TTM!O13="","",iferror(max(min(TTM!O13,1),-0.3),""))</f>
        <v/>
      </c>
      <c r="P13" s="14" t="str">
        <f>if(TTM!P13="","",iferror(max(min(TTM!P13,1),-0.3),""))</f>
        <v/>
      </c>
      <c r="Q13" s="14" t="str">
        <f>if(TTM!Q13="","",iferror(max(min(TTM!Q13,1),-0.3),""))</f>
        <v/>
      </c>
      <c r="R13" s="14"/>
      <c r="S13" s="14" t="str">
        <f>if(TTM!S13="","",iferror(max(min(TTM!S13,1),-0.3),""))</f>
        <v/>
      </c>
      <c r="T13" s="14" t="str">
        <f>if(TTM!T13="","",iferror(max(min(TTM!T13,1),-0.3),""))</f>
        <v/>
      </c>
      <c r="U13" s="14" t="str">
        <f>if(TTM!U13="","",iferror(max(min(TTM!U13,1),-0.3),""))</f>
        <v/>
      </c>
      <c r="V13" s="14" t="str">
        <f>if(TTM!V13="","",iferror(max(min(TTM!V13,1),-0.3),""))</f>
        <v/>
      </c>
      <c r="W13" s="14">
        <f>if(TTM!W13="","",iferror(max(min(TTM!W13,1),-0.3),""))</f>
        <v>1</v>
      </c>
      <c r="X13" s="14">
        <f>if(TTM!X13="","",iferror(max(min(TTM!X13,1),-0.3),""))</f>
        <v>0.2793027555</v>
      </c>
      <c r="Y13" s="14" t="str">
        <f>if(TTM!Y13="","",iferror(max(min(TTM!Y13,1),-0.3),""))</f>
        <v/>
      </c>
      <c r="Z13" s="14" t="str">
        <f>if(TTM!Z13="","",iferror(max(min(TTM!Z13,1),-0.3),""))</f>
        <v/>
      </c>
      <c r="AA13" s="14" t="str">
        <f>if(TTM!AA13="","",iferror(max(min(TTM!AA13,1),-0.3),""))</f>
        <v/>
      </c>
      <c r="AB13" s="14" t="str">
        <f>if(TTM!AB13="","",iferror(max(min(TTM!AB13,1),-0.3),""))</f>
        <v/>
      </c>
      <c r="AC13" s="14" t="str">
        <f>if(TTM!AC13="","",iferror(max(min(TTM!AC13,1),-0.3),""))</f>
        <v/>
      </c>
      <c r="AD13" s="12"/>
    </row>
    <row r="14">
      <c r="A14" s="15" t="s">
        <v>41</v>
      </c>
      <c r="B14" s="14" t="str">
        <f>if(TTM!B14="","",iferror(max(min(TTM!B14,1),-0.3),""))</f>
        <v/>
      </c>
      <c r="C14" s="14" t="str">
        <f>if(TTM!C14="","",iferror(max(min(TTM!C14,1),-0.3),""))</f>
        <v/>
      </c>
      <c r="D14" s="14">
        <f>if(TTM!D14="","",iferror(max(min(TTM!D14,1),-0.3),""))</f>
        <v>1</v>
      </c>
      <c r="E14" s="14" t="str">
        <f>if(TTM!E14="","",iferror(max(min(TTM!E14,1),-0.3),""))</f>
        <v/>
      </c>
      <c r="F14" s="14" t="str">
        <f>if(TTM!F14="","",iferror(max(min(TTM!F14,1),-0.3),""))</f>
        <v/>
      </c>
      <c r="G14" s="14" t="str">
        <f>if(TTM!G14="","",iferror(max(min(TTM!G14,1),-0.3),""))</f>
        <v/>
      </c>
      <c r="H14" s="14" t="str">
        <f>if(TTM!H14="","",iferror(max(min(TTM!H14,1),-0.3),""))</f>
        <v/>
      </c>
      <c r="I14" s="14" t="str">
        <f>if(TTM!I14="","",iferror(max(min(TTM!I14,1),-0.3),""))</f>
        <v/>
      </c>
      <c r="J14" s="14" t="str">
        <f>if(TTM!J14="","",iferror(max(min(TTM!J14,1),-0.3),""))</f>
        <v/>
      </c>
      <c r="K14" s="14" t="str">
        <f>if(TTM!K14="","",iferror(max(min(TTM!K14,1),-0.3),""))</f>
        <v/>
      </c>
      <c r="L14" s="14" t="str">
        <f>if(TTM!L14="","",iferror(max(min(TTM!L14,1),-0.3),""))</f>
        <v/>
      </c>
      <c r="M14" s="14" t="str">
        <f>if(TTM!M14="","",iferror(max(min(TTM!M14,1),-0.3),""))</f>
        <v/>
      </c>
      <c r="N14" s="14" t="str">
        <f>if(TTM!N14="","",iferror(max(min(TTM!N14,1),-0.3),""))</f>
        <v/>
      </c>
      <c r="O14" s="14" t="str">
        <f>if(TTM!O14="","",iferror(max(min(TTM!O14,1),-0.3),""))</f>
        <v/>
      </c>
      <c r="P14" s="14" t="str">
        <f>if(TTM!P14="","",iferror(max(min(TTM!P14,1),-0.3),""))</f>
        <v/>
      </c>
      <c r="Q14" s="14" t="str">
        <f>if(TTM!Q14="","",iferror(max(min(TTM!Q14,1),-0.3),""))</f>
        <v/>
      </c>
      <c r="R14" s="14"/>
      <c r="S14" s="14" t="str">
        <f>if(TTM!S14="","",iferror(max(min(TTM!S14,1),-0.3),""))</f>
        <v/>
      </c>
      <c r="T14" s="14" t="str">
        <f>if(TTM!T14="","",iferror(max(min(TTM!T14,1),-0.3),""))</f>
        <v/>
      </c>
      <c r="U14" s="14" t="str">
        <f>if(TTM!U14="","",iferror(max(min(TTM!U14,1),-0.3),""))</f>
        <v/>
      </c>
      <c r="V14" s="14" t="str">
        <f>if(TTM!V14="","",iferror(max(min(TTM!V14,1),-0.3),""))</f>
        <v/>
      </c>
      <c r="W14" s="14">
        <f>if(TTM!W14="","",iferror(max(min(TTM!W14,1),-0.3),""))</f>
        <v>1</v>
      </c>
      <c r="X14" s="14">
        <f>if(TTM!X14="","",iferror(max(min(TTM!X14,1),-0.3),""))</f>
        <v>0.2491503385</v>
      </c>
      <c r="Y14" s="14" t="str">
        <f>if(TTM!Y14="","",iferror(max(min(TTM!Y14,1),-0.3),""))</f>
        <v/>
      </c>
      <c r="Z14" s="14" t="str">
        <f>if(TTM!Z14="","",iferror(max(min(TTM!Z14,1),-0.3),""))</f>
        <v/>
      </c>
      <c r="AA14" s="14" t="str">
        <f>if(TTM!AA14="","",iferror(max(min(TTM!AA14,1),-0.3),""))</f>
        <v/>
      </c>
      <c r="AB14" s="14" t="str">
        <f>if(TTM!AB14="","",iferror(max(min(TTM!AB14,1),-0.3),""))</f>
        <v/>
      </c>
      <c r="AC14" s="14" t="str">
        <f>if(TTM!AC14="","",iferror(max(min(TTM!AC14,1),-0.3),""))</f>
        <v/>
      </c>
      <c r="AD14" s="12"/>
    </row>
    <row r="15">
      <c r="A15" s="15" t="s">
        <v>42</v>
      </c>
      <c r="B15" s="14" t="str">
        <f>if(TTM!B15="","",iferror(max(min(TTM!B15,1),-0.3),""))</f>
        <v/>
      </c>
      <c r="C15" s="14">
        <f>if(TTM!C15="","",iferror(max(min(TTM!C15,1),-0.3),""))</f>
        <v>1</v>
      </c>
      <c r="D15" s="14">
        <f>if(TTM!D15="","",iferror(max(min(TTM!D15,1),-0.3),""))</f>
        <v>1</v>
      </c>
      <c r="E15" s="14" t="str">
        <f>if(TTM!E15="","",iferror(max(min(TTM!E15,1),-0.3),""))</f>
        <v/>
      </c>
      <c r="F15" s="14" t="str">
        <f>if(TTM!F15="","",iferror(max(min(TTM!F15,1),-0.3),""))</f>
        <v/>
      </c>
      <c r="G15" s="14" t="str">
        <f>if(TTM!G15="","",iferror(max(min(TTM!G15,1),-0.3),""))</f>
        <v/>
      </c>
      <c r="H15" s="14" t="str">
        <f>if(TTM!H15="","",iferror(max(min(TTM!H15,1),-0.3),""))</f>
        <v/>
      </c>
      <c r="I15" s="14" t="str">
        <f>if(TTM!I15="","",iferror(max(min(TTM!I15,1),-0.3),""))</f>
        <v/>
      </c>
      <c r="J15" s="14" t="str">
        <f>if(TTM!J15="","",iferror(max(min(TTM!J15,1),-0.3),""))</f>
        <v/>
      </c>
      <c r="K15" s="14" t="str">
        <f>if(TTM!K15="","",iferror(max(min(TTM!K15,1),-0.3),""))</f>
        <v/>
      </c>
      <c r="L15" s="14" t="str">
        <f>if(TTM!L15="","",iferror(max(min(TTM!L15,1),-0.3),""))</f>
        <v/>
      </c>
      <c r="M15" s="14" t="str">
        <f>if(TTM!M15="","",iferror(max(min(TTM!M15,1),-0.3),""))</f>
        <v/>
      </c>
      <c r="N15" s="14" t="str">
        <f>if(TTM!N15="","",iferror(max(min(TTM!N15,1),-0.3),""))</f>
        <v/>
      </c>
      <c r="O15" s="14" t="str">
        <f>if(TTM!O15="","",iferror(max(min(TTM!O15,1),-0.3),""))</f>
        <v/>
      </c>
      <c r="P15" s="14" t="str">
        <f>if(TTM!P15="","",iferror(max(min(TTM!P15,1),-0.3),""))</f>
        <v/>
      </c>
      <c r="Q15" s="14" t="str">
        <f>if(TTM!Q15="","",iferror(max(min(TTM!Q15,1),-0.3),""))</f>
        <v/>
      </c>
      <c r="R15" s="14"/>
      <c r="S15" s="14" t="str">
        <f>if(TTM!S15="","",iferror(max(min(TTM!S15,1),-0.3),""))</f>
        <v/>
      </c>
      <c r="T15" s="14" t="str">
        <f>if(TTM!T15="","",iferror(max(min(TTM!T15,1),-0.3),""))</f>
        <v/>
      </c>
      <c r="U15" s="14" t="str">
        <f>if(TTM!U15="","",iferror(max(min(TTM!U15,1),-0.3),""))</f>
        <v/>
      </c>
      <c r="V15" s="14" t="str">
        <f>if(TTM!V15="","",iferror(max(min(TTM!V15,1),-0.3),""))</f>
        <v/>
      </c>
      <c r="W15" s="14">
        <f>if(TTM!W15="","",iferror(max(min(TTM!W15,1),-0.3),""))</f>
        <v>1</v>
      </c>
      <c r="X15" s="14">
        <f>if(TTM!X15="","",iferror(max(min(TTM!X15,1),-0.3),""))</f>
        <v>0.2189979215</v>
      </c>
      <c r="Y15" s="14" t="str">
        <f>if(TTM!Y15="","",iferror(max(min(TTM!Y15,1),-0.3),""))</f>
        <v/>
      </c>
      <c r="Z15" s="14" t="str">
        <f>if(TTM!Z15="","",iferror(max(min(TTM!Z15,1),-0.3),""))</f>
        <v/>
      </c>
      <c r="AA15" s="14" t="str">
        <f>if(TTM!AA15="","",iferror(max(min(TTM!AA15,1),-0.3),""))</f>
        <v/>
      </c>
      <c r="AB15" s="14" t="str">
        <f>if(TTM!AB15="","",iferror(max(min(TTM!AB15,1),-0.3),""))</f>
        <v/>
      </c>
      <c r="AC15" s="14" t="str">
        <f>if(TTM!AC15="","",iferror(max(min(TTM!AC15,1),-0.3),""))</f>
        <v/>
      </c>
      <c r="AD15" s="12"/>
    </row>
    <row r="16">
      <c r="A16" s="15" t="s">
        <v>43</v>
      </c>
      <c r="B16" s="14" t="str">
        <f>if(TTM!B16="","",iferror(max(min(TTM!B16,1),-0.3),""))</f>
        <v/>
      </c>
      <c r="C16" s="14">
        <f>if(TTM!C16="","",iferror(max(min(TTM!C16,1),-0.3),""))</f>
        <v>1</v>
      </c>
      <c r="D16" s="14">
        <f>if(TTM!D16="","",iferror(max(min(TTM!D16,1),-0.3),""))</f>
        <v>1</v>
      </c>
      <c r="E16" s="14" t="str">
        <f>if(TTM!E16="","",iferror(max(min(TTM!E16,1),-0.3),""))</f>
        <v/>
      </c>
      <c r="F16" s="14" t="str">
        <f>if(TTM!F16="","",iferror(max(min(TTM!F16,1),-0.3),""))</f>
        <v/>
      </c>
      <c r="G16" s="14" t="str">
        <f>if(TTM!G16="","",iferror(max(min(TTM!G16,1),-0.3),""))</f>
        <v/>
      </c>
      <c r="H16" s="14" t="str">
        <f>if(TTM!H16="","",iferror(max(min(TTM!H16,1),-0.3),""))</f>
        <v/>
      </c>
      <c r="I16" s="14" t="str">
        <f>if(TTM!I16="","",iferror(max(min(TTM!I16,1),-0.3),""))</f>
        <v/>
      </c>
      <c r="J16" s="14" t="str">
        <f>if(TTM!J16="","",iferror(max(min(TTM!J16,1),-0.3),""))</f>
        <v/>
      </c>
      <c r="K16" s="14" t="str">
        <f>if(TTM!K16="","",iferror(max(min(TTM!K16,1),-0.3),""))</f>
        <v/>
      </c>
      <c r="L16" s="14" t="str">
        <f>if(TTM!L16="","",iferror(max(min(TTM!L16,1),-0.3),""))</f>
        <v/>
      </c>
      <c r="M16" s="14" t="str">
        <f>if(TTM!M16="","",iferror(max(min(TTM!M16,1),-0.3),""))</f>
        <v/>
      </c>
      <c r="N16" s="14" t="str">
        <f>if(TTM!N16="","",iferror(max(min(TTM!N16,1),-0.3),""))</f>
        <v/>
      </c>
      <c r="O16" s="14" t="str">
        <f>if(TTM!O16="","",iferror(max(min(TTM!O16,1),-0.3),""))</f>
        <v/>
      </c>
      <c r="P16" s="14" t="str">
        <f>if(TTM!P16="","",iferror(max(min(TTM!P16,1),-0.3),""))</f>
        <v/>
      </c>
      <c r="Q16" s="14" t="str">
        <f>if(TTM!Q16="","",iferror(max(min(TTM!Q16,1),-0.3),""))</f>
        <v/>
      </c>
      <c r="R16" s="14"/>
      <c r="S16" s="14" t="str">
        <f>if(TTM!S16="","",iferror(max(min(TTM!S16,1),-0.3),""))</f>
        <v/>
      </c>
      <c r="T16" s="14" t="str">
        <f>if(TTM!T16="","",iferror(max(min(TTM!T16,1),-0.3),""))</f>
        <v/>
      </c>
      <c r="U16" s="14" t="str">
        <f>if(TTM!U16="","",iferror(max(min(TTM!U16,1),-0.3),""))</f>
        <v/>
      </c>
      <c r="V16" s="14" t="str">
        <f>if(TTM!V16="","",iferror(max(min(TTM!V16,1),-0.3),""))</f>
        <v/>
      </c>
      <c r="W16" s="14">
        <f>if(TTM!W16="","",iferror(max(min(TTM!W16,1),-0.3),""))</f>
        <v>1</v>
      </c>
      <c r="X16" s="14">
        <f>if(TTM!X16="","",iferror(max(min(TTM!X16,1),-0.3),""))</f>
        <v>0.1888455045</v>
      </c>
      <c r="Y16" s="14" t="str">
        <f>if(TTM!Y16="","",iferror(max(min(TTM!Y16,1),-0.3),""))</f>
        <v/>
      </c>
      <c r="Z16" s="14" t="str">
        <f>if(TTM!Z16="","",iferror(max(min(TTM!Z16,1),-0.3),""))</f>
        <v/>
      </c>
      <c r="AA16" s="14" t="str">
        <f>if(TTM!AA16="","",iferror(max(min(TTM!AA16,1),-0.3),""))</f>
        <v/>
      </c>
      <c r="AB16" s="14" t="str">
        <f>if(TTM!AB16="","",iferror(max(min(TTM!AB16,1),-0.3),""))</f>
        <v/>
      </c>
      <c r="AC16" s="14" t="str">
        <f>if(TTM!AC16="","",iferror(max(min(TTM!AC16,1),-0.3),""))</f>
        <v/>
      </c>
      <c r="AD16" s="12"/>
    </row>
    <row r="17">
      <c r="A17" s="15" t="s">
        <v>44</v>
      </c>
      <c r="B17" s="14" t="str">
        <f>if(TTM!B17="","",iferror(max(min(TTM!B17,1),-0.3),""))</f>
        <v/>
      </c>
      <c r="C17" s="14">
        <f>if(TTM!C17="","",iferror(max(min(TTM!C17,1),-0.3),""))</f>
        <v>1</v>
      </c>
      <c r="D17" s="14">
        <f>if(TTM!D17="","",iferror(max(min(TTM!D17,1),-0.3),""))</f>
        <v>1</v>
      </c>
      <c r="E17" s="14" t="str">
        <f>if(TTM!E17="","",iferror(max(min(TTM!E17,1),-0.3),""))</f>
        <v/>
      </c>
      <c r="F17" s="14" t="str">
        <f>if(TTM!F17="","",iferror(max(min(TTM!F17,1),-0.3),""))</f>
        <v/>
      </c>
      <c r="G17" s="14" t="str">
        <f>if(TTM!G17="","",iferror(max(min(TTM!G17,1),-0.3),""))</f>
        <v/>
      </c>
      <c r="H17" s="14" t="str">
        <f>if(TTM!H17="","",iferror(max(min(TTM!H17,1),-0.3),""))</f>
        <v/>
      </c>
      <c r="I17" s="14" t="str">
        <f>if(TTM!I17="","",iferror(max(min(TTM!I17,1),-0.3),""))</f>
        <v/>
      </c>
      <c r="J17" s="14" t="str">
        <f>if(TTM!J17="","",iferror(max(min(TTM!J17,1),-0.3),""))</f>
        <v/>
      </c>
      <c r="K17" s="14" t="str">
        <f>if(TTM!K17="","",iferror(max(min(TTM!K17,1),-0.3),""))</f>
        <v/>
      </c>
      <c r="L17" s="14" t="str">
        <f>if(TTM!L17="","",iferror(max(min(TTM!L17,1),-0.3),""))</f>
        <v/>
      </c>
      <c r="M17" s="14" t="str">
        <f>if(TTM!M17="","",iferror(max(min(TTM!M17,1),-0.3),""))</f>
        <v/>
      </c>
      <c r="N17" s="14" t="str">
        <f>if(TTM!N17="","",iferror(max(min(TTM!N17,1),-0.3),""))</f>
        <v/>
      </c>
      <c r="O17" s="14" t="str">
        <f>if(TTM!O17="","",iferror(max(min(TTM!O17,1),-0.3),""))</f>
        <v/>
      </c>
      <c r="P17" s="14" t="str">
        <f>if(TTM!P17="","",iferror(max(min(TTM!P17,1),-0.3),""))</f>
        <v/>
      </c>
      <c r="Q17" s="14" t="str">
        <f>if(TTM!Q17="","",iferror(max(min(TTM!Q17,1),-0.3),""))</f>
        <v/>
      </c>
      <c r="R17" s="14"/>
      <c r="S17" s="14" t="str">
        <f>if(TTM!S17="","",iferror(max(min(TTM!S17,1),-0.3),""))</f>
        <v/>
      </c>
      <c r="T17" s="14" t="str">
        <f>if(TTM!T17="","",iferror(max(min(TTM!T17,1),-0.3),""))</f>
        <v/>
      </c>
      <c r="U17" s="14" t="str">
        <f>if(TTM!U17="","",iferror(max(min(TTM!U17,1),-0.3),""))</f>
        <v/>
      </c>
      <c r="V17" s="14" t="str">
        <f>if(TTM!V17="","",iferror(max(min(TTM!V17,1),-0.3),""))</f>
        <v/>
      </c>
      <c r="W17" s="14">
        <f>if(TTM!W17="","",iferror(max(min(TTM!W17,1),-0.3),""))</f>
        <v>1</v>
      </c>
      <c r="X17" s="14">
        <f>if(TTM!X17="","",iferror(max(min(TTM!X17,1),-0.3),""))</f>
        <v>0.1569025371</v>
      </c>
      <c r="Y17" s="14" t="str">
        <f>if(TTM!Y17="","",iferror(max(min(TTM!Y17,1),-0.3),""))</f>
        <v/>
      </c>
      <c r="Z17" s="14" t="str">
        <f>if(TTM!Z17="","",iferror(max(min(TTM!Z17,1),-0.3),""))</f>
        <v/>
      </c>
      <c r="AA17" s="14" t="str">
        <f>if(TTM!AA17="","",iferror(max(min(TTM!AA17,1),-0.3),""))</f>
        <v/>
      </c>
      <c r="AB17" s="14" t="str">
        <f>if(TTM!AB17="","",iferror(max(min(TTM!AB17,1),-0.3),""))</f>
        <v/>
      </c>
      <c r="AC17" s="14" t="str">
        <f>if(TTM!AC17="","",iferror(max(min(TTM!AC17,1),-0.3),""))</f>
        <v/>
      </c>
      <c r="AD17" s="12"/>
    </row>
    <row r="18">
      <c r="A18" s="15" t="s">
        <v>45</v>
      </c>
      <c r="B18" s="14" t="str">
        <f>if(TTM!B18="","",iferror(max(min(TTM!B18,1),-0.3),""))</f>
        <v/>
      </c>
      <c r="C18" s="14">
        <f>if(TTM!C18="","",iferror(max(min(TTM!C18,1),-0.3),""))</f>
        <v>1</v>
      </c>
      <c r="D18" s="14">
        <f>if(TTM!D18="","",iferror(max(min(TTM!D18,1),-0.3),""))</f>
        <v>1</v>
      </c>
      <c r="E18" s="14" t="str">
        <f>if(TTM!E18="","",iferror(max(min(TTM!E18,1),-0.3),""))</f>
        <v/>
      </c>
      <c r="F18" s="14" t="str">
        <f>if(TTM!F18="","",iferror(max(min(TTM!F18,1),-0.3),""))</f>
        <v/>
      </c>
      <c r="G18" s="14" t="str">
        <f>if(TTM!G18="","",iferror(max(min(TTM!G18,1),-0.3),""))</f>
        <v/>
      </c>
      <c r="H18" s="14" t="str">
        <f>if(TTM!H18="","",iferror(max(min(TTM!H18,1),-0.3),""))</f>
        <v/>
      </c>
      <c r="I18" s="14" t="str">
        <f>if(TTM!I18="","",iferror(max(min(TTM!I18,1),-0.3),""))</f>
        <v/>
      </c>
      <c r="J18" s="14" t="str">
        <f>if(TTM!J18="","",iferror(max(min(TTM!J18,1),-0.3),""))</f>
        <v/>
      </c>
      <c r="K18" s="14" t="str">
        <f>if(TTM!K18="","",iferror(max(min(TTM!K18,1),-0.3),""))</f>
        <v/>
      </c>
      <c r="L18" s="14" t="str">
        <f>if(TTM!L18="","",iferror(max(min(TTM!L18,1),-0.3),""))</f>
        <v/>
      </c>
      <c r="M18" s="14" t="str">
        <f>if(TTM!M18="","",iferror(max(min(TTM!M18,1),-0.3),""))</f>
        <v/>
      </c>
      <c r="N18" s="14" t="str">
        <f>if(TTM!N18="","",iferror(max(min(TTM!N18,1),-0.3),""))</f>
        <v/>
      </c>
      <c r="O18" s="14" t="str">
        <f>if(TTM!O18="","",iferror(max(min(TTM!O18,1),-0.3),""))</f>
        <v/>
      </c>
      <c r="P18" s="14" t="str">
        <f>if(TTM!P18="","",iferror(max(min(TTM!P18,1),-0.3),""))</f>
        <v/>
      </c>
      <c r="Q18" s="14" t="str">
        <f>if(TTM!Q18="","",iferror(max(min(TTM!Q18,1),-0.3),""))</f>
        <v/>
      </c>
      <c r="R18" s="14"/>
      <c r="S18" s="14" t="str">
        <f>if(TTM!S18="","",iferror(max(min(TTM!S18,1),-0.3),""))</f>
        <v/>
      </c>
      <c r="T18" s="14" t="str">
        <f>if(TTM!T18="","",iferror(max(min(TTM!T18,1),-0.3),""))</f>
        <v/>
      </c>
      <c r="U18" s="14" t="str">
        <f>if(TTM!U18="","",iferror(max(min(TTM!U18,1),-0.3),""))</f>
        <v/>
      </c>
      <c r="V18" s="14" t="str">
        <f>if(TTM!V18="","",iferror(max(min(TTM!V18,1),-0.3),""))</f>
        <v/>
      </c>
      <c r="W18" s="14">
        <f>if(TTM!W18="","",iferror(max(min(TTM!W18,1),-0.3),""))</f>
        <v>1</v>
      </c>
      <c r="X18" s="14">
        <f>if(TTM!X18="","",iferror(max(min(TTM!X18,1),-0.3),""))</f>
        <v>0.1249595698</v>
      </c>
      <c r="Y18" s="14" t="str">
        <f>if(TTM!Y18="","",iferror(max(min(TTM!Y18,1),-0.3),""))</f>
        <v/>
      </c>
      <c r="Z18" s="14" t="str">
        <f>if(TTM!Z18="","",iferror(max(min(TTM!Z18,1),-0.3),""))</f>
        <v/>
      </c>
      <c r="AA18" s="14" t="str">
        <f>if(TTM!AA18="","",iferror(max(min(TTM!AA18,1),-0.3),""))</f>
        <v/>
      </c>
      <c r="AB18" s="14" t="str">
        <f>if(TTM!AB18="","",iferror(max(min(TTM!AB18,1),-0.3),""))</f>
        <v/>
      </c>
      <c r="AC18" s="14" t="str">
        <f>if(TTM!AC18="","",iferror(max(min(TTM!AC18,1),-0.3),""))</f>
        <v/>
      </c>
      <c r="AD18" s="12"/>
    </row>
    <row r="19">
      <c r="A19" s="15" t="s">
        <v>46</v>
      </c>
      <c r="B19" s="14" t="str">
        <f>if(TTM!B19="","",iferror(max(min(TTM!B19,1),-0.3),""))</f>
        <v/>
      </c>
      <c r="C19" s="14">
        <f>if(TTM!C19="","",iferror(max(min(TTM!C19,1),-0.3),""))</f>
        <v>1</v>
      </c>
      <c r="D19" s="14">
        <f>if(TTM!D19="","",iferror(max(min(TTM!D19,1),-0.3),""))</f>
        <v>1</v>
      </c>
      <c r="E19" s="14" t="str">
        <f>if(TTM!E19="","",iferror(max(min(TTM!E19,1),-0.3),""))</f>
        <v/>
      </c>
      <c r="F19" s="14" t="str">
        <f>if(TTM!F19="","",iferror(max(min(TTM!F19,1),-0.3),""))</f>
        <v/>
      </c>
      <c r="G19" s="14" t="str">
        <f>if(TTM!G19="","",iferror(max(min(TTM!G19,1),-0.3),""))</f>
        <v/>
      </c>
      <c r="H19" s="14" t="str">
        <f>if(TTM!H19="","",iferror(max(min(TTM!H19,1),-0.3),""))</f>
        <v/>
      </c>
      <c r="I19" s="14" t="str">
        <f>if(TTM!I19="","",iferror(max(min(TTM!I19,1),-0.3),""))</f>
        <v/>
      </c>
      <c r="J19" s="14" t="str">
        <f>if(TTM!J19="","",iferror(max(min(TTM!J19,1),-0.3),""))</f>
        <v/>
      </c>
      <c r="K19" s="14" t="str">
        <f>if(TTM!K19="","",iferror(max(min(TTM!K19,1),-0.3),""))</f>
        <v/>
      </c>
      <c r="L19" s="14" t="str">
        <f>if(TTM!L19="","",iferror(max(min(TTM!L19,1),-0.3),""))</f>
        <v/>
      </c>
      <c r="M19" s="14" t="str">
        <f>if(TTM!M19="","",iferror(max(min(TTM!M19,1),-0.3),""))</f>
        <v/>
      </c>
      <c r="N19" s="14" t="str">
        <f>if(TTM!N19="","",iferror(max(min(TTM!N19,1),-0.3),""))</f>
        <v/>
      </c>
      <c r="O19" s="14" t="str">
        <f>if(TTM!O19="","",iferror(max(min(TTM!O19,1),-0.3),""))</f>
        <v/>
      </c>
      <c r="P19" s="14" t="str">
        <f>if(TTM!P19="","",iferror(max(min(TTM!P19,1),-0.3),""))</f>
        <v/>
      </c>
      <c r="Q19" s="14" t="str">
        <f>if(TTM!Q19="","",iferror(max(min(TTM!Q19,1),-0.3),""))</f>
        <v/>
      </c>
      <c r="R19" s="14"/>
      <c r="S19" s="14">
        <f>if(TTM!S19="","",iferror(max(min(TTM!S19,1),-0.3),""))</f>
        <v>1</v>
      </c>
      <c r="T19" s="14" t="str">
        <f>if(TTM!T19="","",iferror(max(min(TTM!T19,1),-0.3),""))</f>
        <v/>
      </c>
      <c r="U19" s="14" t="str">
        <f>if(TTM!U19="","",iferror(max(min(TTM!U19,1),-0.3),""))</f>
        <v/>
      </c>
      <c r="V19" s="14" t="str">
        <f>if(TTM!V19="","",iferror(max(min(TTM!V19,1),-0.3),""))</f>
        <v/>
      </c>
      <c r="W19" s="14">
        <f>if(TTM!W19="","",iferror(max(min(TTM!W19,1),-0.3),""))</f>
        <v>1</v>
      </c>
      <c r="X19" s="14">
        <f>if(TTM!X19="","",iferror(max(min(TTM!X19,1),-0.3),""))</f>
        <v>0.09301660237</v>
      </c>
      <c r="Y19" s="14" t="str">
        <f>if(TTM!Y19="","",iferror(max(min(TTM!Y19,1),-0.3),""))</f>
        <v/>
      </c>
      <c r="Z19" s="14" t="str">
        <f>if(TTM!Z19="","",iferror(max(min(TTM!Z19,1),-0.3),""))</f>
        <v/>
      </c>
      <c r="AA19" s="14" t="str">
        <f>if(TTM!AA19="","",iferror(max(min(TTM!AA19,1),-0.3),""))</f>
        <v/>
      </c>
      <c r="AB19" s="14" t="str">
        <f>if(TTM!AB19="","",iferror(max(min(TTM!AB19,1),-0.3),""))</f>
        <v/>
      </c>
      <c r="AC19" s="14" t="str">
        <f>if(TTM!AC19="","",iferror(max(min(TTM!AC19,1),-0.3),""))</f>
        <v/>
      </c>
      <c r="AD19" s="12"/>
    </row>
    <row r="20">
      <c r="A20" s="15" t="s">
        <v>47</v>
      </c>
      <c r="B20" s="14" t="str">
        <f>if(TTM!B20="","",iferror(max(min(TTM!B20,1),-0.3),""))</f>
        <v/>
      </c>
      <c r="C20" s="14">
        <f>if(TTM!C20="","",iferror(max(min(TTM!C20,1),-0.3),""))</f>
        <v>0.7546838102</v>
      </c>
      <c r="D20" s="14">
        <f>if(TTM!D20="","",iferror(max(min(TTM!D20,1),-0.3),""))</f>
        <v>1</v>
      </c>
      <c r="E20" s="14" t="str">
        <f>if(TTM!E20="","",iferror(max(min(TTM!E20,1),-0.3),""))</f>
        <v/>
      </c>
      <c r="F20" s="14" t="str">
        <f>if(TTM!F20="","",iferror(max(min(TTM!F20,1),-0.3),""))</f>
        <v/>
      </c>
      <c r="G20" s="14" t="str">
        <f>if(TTM!G20="","",iferror(max(min(TTM!G20,1),-0.3),""))</f>
        <v/>
      </c>
      <c r="H20" s="14" t="str">
        <f>if(TTM!H20="","",iferror(max(min(TTM!H20,1),-0.3),""))</f>
        <v/>
      </c>
      <c r="I20" s="14" t="str">
        <f>if(TTM!I20="","",iferror(max(min(TTM!I20,1),-0.3),""))</f>
        <v/>
      </c>
      <c r="J20" s="14" t="str">
        <f>if(TTM!J20="","",iferror(max(min(TTM!J20,1),-0.3),""))</f>
        <v/>
      </c>
      <c r="K20" s="14" t="str">
        <f>if(TTM!K20="","",iferror(max(min(TTM!K20,1),-0.3),""))</f>
        <v/>
      </c>
      <c r="L20" s="14" t="str">
        <f>if(TTM!L20="","",iferror(max(min(TTM!L20,1),-0.3),""))</f>
        <v/>
      </c>
      <c r="M20" s="14" t="str">
        <f>if(TTM!M20="","",iferror(max(min(TTM!M20,1),-0.3),""))</f>
        <v/>
      </c>
      <c r="N20" s="14" t="str">
        <f>if(TTM!N20="","",iferror(max(min(TTM!N20,1),-0.3),""))</f>
        <v/>
      </c>
      <c r="O20" s="14" t="str">
        <f>if(TTM!O20="","",iferror(max(min(TTM!O20,1),-0.3),""))</f>
        <v/>
      </c>
      <c r="P20" s="14" t="str">
        <f>if(TTM!P20="","",iferror(max(min(TTM!P20,1),-0.3),""))</f>
        <v/>
      </c>
      <c r="Q20" s="14" t="str">
        <f>if(TTM!Q20="","",iferror(max(min(TTM!Q20,1),-0.3),""))</f>
        <v/>
      </c>
      <c r="R20" s="14"/>
      <c r="S20" s="14">
        <f>if(TTM!S20="","",iferror(max(min(TTM!S20,1),-0.3),""))</f>
        <v>1</v>
      </c>
      <c r="T20" s="14" t="str">
        <f>if(TTM!T20="","",iferror(max(min(TTM!T20,1),-0.3),""))</f>
        <v/>
      </c>
      <c r="U20" s="14" t="str">
        <f>if(TTM!U20="","",iferror(max(min(TTM!U20,1),-0.3),""))</f>
        <v/>
      </c>
      <c r="V20" s="14" t="str">
        <f>if(TTM!V20="","",iferror(max(min(TTM!V20,1),-0.3),""))</f>
        <v/>
      </c>
      <c r="W20" s="14">
        <f>if(TTM!W20="","",iferror(max(min(TTM!W20,1),-0.3),""))</f>
        <v>1</v>
      </c>
      <c r="X20" s="14">
        <f>if(TTM!X20="","",iferror(max(min(TTM!X20,1),-0.3),""))</f>
        <v>0.06107363498</v>
      </c>
      <c r="Y20" s="14" t="str">
        <f>if(TTM!Y20="","",iferror(max(min(TTM!Y20,1),-0.3),""))</f>
        <v/>
      </c>
      <c r="Z20" s="14" t="str">
        <f>if(TTM!Z20="","",iferror(max(min(TTM!Z20,1),-0.3),""))</f>
        <v/>
      </c>
      <c r="AA20" s="14" t="str">
        <f>if(TTM!AA20="","",iferror(max(min(TTM!AA20,1),-0.3),""))</f>
        <v/>
      </c>
      <c r="AB20" s="14" t="str">
        <f>if(TTM!AB20="","",iferror(max(min(TTM!AB20,1),-0.3),""))</f>
        <v/>
      </c>
      <c r="AC20" s="14" t="str">
        <f>if(TTM!AC20="","",iferror(max(min(TTM!AC20,1),-0.3),""))</f>
        <v/>
      </c>
      <c r="AD20" s="12"/>
    </row>
    <row r="21">
      <c r="A21" s="15" t="s">
        <v>48</v>
      </c>
      <c r="B21" s="14" t="str">
        <f>if(TTM!B21="","",iferror(max(min(TTM!B21,1),-0.3),""))</f>
        <v/>
      </c>
      <c r="C21" s="14">
        <f>if(TTM!C21="","",iferror(max(min(TTM!C21,1),-0.3),""))</f>
        <v>0.3515837677</v>
      </c>
      <c r="D21" s="14">
        <f>if(TTM!D21="","",iferror(max(min(TTM!D21,1),-0.3),""))</f>
        <v>1</v>
      </c>
      <c r="E21" s="14" t="str">
        <f>if(TTM!E21="","",iferror(max(min(TTM!E21,1),-0.3),""))</f>
        <v/>
      </c>
      <c r="F21" s="14" t="str">
        <f>if(TTM!F21="","",iferror(max(min(TTM!F21,1),-0.3),""))</f>
        <v/>
      </c>
      <c r="G21" s="14" t="str">
        <f>if(TTM!G21="","",iferror(max(min(TTM!G21,1),-0.3),""))</f>
        <v/>
      </c>
      <c r="H21" s="14" t="str">
        <f>if(TTM!H21="","",iferror(max(min(TTM!H21,1),-0.3),""))</f>
        <v/>
      </c>
      <c r="I21" s="14" t="str">
        <f>if(TTM!I21="","",iferror(max(min(TTM!I21,1),-0.3),""))</f>
        <v/>
      </c>
      <c r="J21" s="14" t="str">
        <f>if(TTM!J21="","",iferror(max(min(TTM!J21,1),-0.3),""))</f>
        <v/>
      </c>
      <c r="K21" s="14" t="str">
        <f>if(TTM!K21="","",iferror(max(min(TTM!K21,1),-0.3),""))</f>
        <v/>
      </c>
      <c r="L21" s="14" t="str">
        <f>if(TTM!L21="","",iferror(max(min(TTM!L21,1),-0.3),""))</f>
        <v/>
      </c>
      <c r="M21" s="14" t="str">
        <f>if(TTM!M21="","",iferror(max(min(TTM!M21,1),-0.3),""))</f>
        <v/>
      </c>
      <c r="N21" s="14" t="str">
        <f>if(TTM!N21="","",iferror(max(min(TTM!N21,1),-0.3),""))</f>
        <v/>
      </c>
      <c r="O21" s="14" t="str">
        <f>if(TTM!O21="","",iferror(max(min(TTM!O21,1),-0.3),""))</f>
        <v/>
      </c>
      <c r="P21" s="14" t="str">
        <f>if(TTM!P21="","",iferror(max(min(TTM!P21,1),-0.3),""))</f>
        <v/>
      </c>
      <c r="Q21" s="14" t="str">
        <f>if(TTM!Q21="","",iferror(max(min(TTM!Q21,1),-0.3),""))</f>
        <v/>
      </c>
      <c r="R21" s="14"/>
      <c r="S21" s="14">
        <f>if(TTM!S21="","",iferror(max(min(TTM!S21,1),-0.3),""))</f>
        <v>1</v>
      </c>
      <c r="T21" s="14" t="str">
        <f>if(TTM!T21="","",iferror(max(min(TTM!T21,1),-0.3),""))</f>
        <v/>
      </c>
      <c r="U21" s="14" t="str">
        <f>if(TTM!U21="","",iferror(max(min(TTM!U21,1),-0.3),""))</f>
        <v/>
      </c>
      <c r="V21" s="14" t="str">
        <f>if(TTM!V21="","",iferror(max(min(TTM!V21,1),-0.3),""))</f>
        <v/>
      </c>
      <c r="W21" s="14">
        <f>if(TTM!W21="","",iferror(max(min(TTM!W21,1),-0.3),""))</f>
        <v>0.9251144251</v>
      </c>
      <c r="X21" s="14">
        <f>if(TTM!X21="","",iferror(max(min(TTM!X21,1),-0.3),""))</f>
        <v>0.1286209294</v>
      </c>
      <c r="Y21" s="14" t="str">
        <f>if(TTM!Y21="","",iferror(max(min(TTM!Y21,1),-0.3),""))</f>
        <v/>
      </c>
      <c r="Z21" s="14" t="str">
        <f>if(TTM!Z21="","",iferror(max(min(TTM!Z21,1),-0.3),""))</f>
        <v/>
      </c>
      <c r="AA21" s="14" t="str">
        <f>if(TTM!AA21="","",iferror(max(min(TTM!AA21,1),-0.3),""))</f>
        <v/>
      </c>
      <c r="AB21" s="14" t="str">
        <f>if(TTM!AB21="","",iferror(max(min(TTM!AB21,1),-0.3),""))</f>
        <v/>
      </c>
      <c r="AC21" s="14" t="str">
        <f>if(TTM!AC21="","",iferror(max(min(TTM!AC21,1),-0.3),""))</f>
        <v/>
      </c>
      <c r="AD21" s="12"/>
    </row>
    <row r="22">
      <c r="A22" s="15" t="s">
        <v>49</v>
      </c>
      <c r="B22" s="14" t="str">
        <f>if(TTM!B22="","",iferror(max(min(TTM!B22,1),-0.3),""))</f>
        <v/>
      </c>
      <c r="C22" s="14">
        <f>if(TTM!C22="","",iferror(max(min(TTM!C22,1),-0.3),""))</f>
        <v>-0.05151627494</v>
      </c>
      <c r="D22" s="14">
        <f>if(TTM!D22="","",iferror(max(min(TTM!D22,1),-0.3),""))</f>
        <v>1</v>
      </c>
      <c r="E22" s="14">
        <f>if(TTM!E22="","",iferror(max(min(TTM!E22,1),-0.3),""))</f>
        <v>1</v>
      </c>
      <c r="F22" s="14" t="str">
        <f>if(TTM!F22="","",iferror(max(min(TTM!F22,1),-0.3),""))</f>
        <v/>
      </c>
      <c r="G22" s="14" t="str">
        <f>if(TTM!G22="","",iferror(max(min(TTM!G22,1),-0.3),""))</f>
        <v/>
      </c>
      <c r="H22" s="14" t="str">
        <f>if(TTM!H22="","",iferror(max(min(TTM!H22,1),-0.3),""))</f>
        <v/>
      </c>
      <c r="I22" s="14" t="str">
        <f>if(TTM!I22="","",iferror(max(min(TTM!I22,1),-0.3),""))</f>
        <v/>
      </c>
      <c r="J22" s="14" t="str">
        <f>if(TTM!J22="","",iferror(max(min(TTM!J22,1),-0.3),""))</f>
        <v/>
      </c>
      <c r="K22" s="14" t="str">
        <f>if(TTM!K22="","",iferror(max(min(TTM!K22,1),-0.3),""))</f>
        <v/>
      </c>
      <c r="L22" s="14" t="str">
        <f>if(TTM!L22="","",iferror(max(min(TTM!L22,1),-0.3),""))</f>
        <v/>
      </c>
      <c r="M22" s="14" t="str">
        <f>if(TTM!M22="","",iferror(max(min(TTM!M22,1),-0.3),""))</f>
        <v/>
      </c>
      <c r="N22" s="14" t="str">
        <f>if(TTM!N22="","",iferror(max(min(TTM!N22,1),-0.3),""))</f>
        <v/>
      </c>
      <c r="O22" s="14" t="str">
        <f>if(TTM!O22="","",iferror(max(min(TTM!O22,1),-0.3),""))</f>
        <v/>
      </c>
      <c r="P22" s="14" t="str">
        <f>if(TTM!P22="","",iferror(max(min(TTM!P22,1),-0.3),""))</f>
        <v/>
      </c>
      <c r="Q22" s="14" t="str">
        <f>if(TTM!Q22="","",iferror(max(min(TTM!Q22,1),-0.3),""))</f>
        <v/>
      </c>
      <c r="R22" s="14"/>
      <c r="S22" s="14">
        <f>if(TTM!S22="","",iferror(max(min(TTM!S22,1),-0.3),""))</f>
        <v>1</v>
      </c>
      <c r="T22" s="14" t="str">
        <f>if(TTM!T22="","",iferror(max(min(TTM!T22,1),-0.3),""))</f>
        <v/>
      </c>
      <c r="U22" s="14" t="str">
        <f>if(TTM!U22="","",iferror(max(min(TTM!U22,1),-0.3),""))</f>
        <v/>
      </c>
      <c r="V22" s="14" t="str">
        <f>if(TTM!V22="","",iferror(max(min(TTM!V22,1),-0.3),""))</f>
        <v/>
      </c>
      <c r="W22" s="14">
        <f>if(TTM!W22="","",iferror(max(min(TTM!W22,1),-0.3),""))</f>
        <v>0.566253179</v>
      </c>
      <c r="X22" s="14">
        <f>if(TTM!X22="","",iferror(max(min(TTM!X22,1),-0.3),""))</f>
        <v>0.1961682238</v>
      </c>
      <c r="Y22" s="14" t="str">
        <f>if(TTM!Y22="","",iferror(max(min(TTM!Y22,1),-0.3),""))</f>
        <v/>
      </c>
      <c r="Z22" s="14" t="str">
        <f>if(TTM!Z22="","",iferror(max(min(TTM!Z22,1),-0.3),""))</f>
        <v/>
      </c>
      <c r="AA22" s="14" t="str">
        <f>if(TTM!AA22="","",iferror(max(min(TTM!AA22,1),-0.3),""))</f>
        <v/>
      </c>
      <c r="AB22" s="14" t="str">
        <f>if(TTM!AB22="","",iferror(max(min(TTM!AB22,1),-0.3),""))</f>
        <v/>
      </c>
      <c r="AC22" s="14" t="str">
        <f>if(TTM!AC22="","",iferror(max(min(TTM!AC22,1),-0.3),""))</f>
        <v/>
      </c>
      <c r="AD22" s="12"/>
    </row>
    <row r="23">
      <c r="A23" s="15" t="s">
        <v>50</v>
      </c>
      <c r="B23" s="14" t="str">
        <f>if(TTM!B23="","",iferror(max(min(TTM!B23,1),-0.3),""))</f>
        <v/>
      </c>
      <c r="C23" s="14">
        <f>if(TTM!C23="","",iferror(max(min(TTM!C23,1),-0.3),""))</f>
        <v>-0.07451230104</v>
      </c>
      <c r="D23" s="14">
        <f>if(TTM!D23="","",iferror(max(min(TTM!D23,1),-0.3),""))</f>
        <v>1</v>
      </c>
      <c r="E23" s="14">
        <f>if(TTM!E23="","",iferror(max(min(TTM!E23,1),-0.3),""))</f>
        <v>1</v>
      </c>
      <c r="F23" s="14" t="str">
        <f>if(TTM!F23="","",iferror(max(min(TTM!F23,1),-0.3),""))</f>
        <v/>
      </c>
      <c r="G23" s="14" t="str">
        <f>if(TTM!G23="","",iferror(max(min(TTM!G23,1),-0.3),""))</f>
        <v/>
      </c>
      <c r="H23" s="14" t="str">
        <f>if(TTM!H23="","",iferror(max(min(TTM!H23,1),-0.3),""))</f>
        <v/>
      </c>
      <c r="I23" s="14" t="str">
        <f>if(TTM!I23="","",iferror(max(min(TTM!I23,1),-0.3),""))</f>
        <v/>
      </c>
      <c r="J23" s="14" t="str">
        <f>if(TTM!J23="","",iferror(max(min(TTM!J23,1),-0.3),""))</f>
        <v/>
      </c>
      <c r="K23" s="14" t="str">
        <f>if(TTM!K23="","",iferror(max(min(TTM!K23,1),-0.3),""))</f>
        <v/>
      </c>
      <c r="L23" s="14" t="str">
        <f>if(TTM!L23="","",iferror(max(min(TTM!L23,1),-0.3),""))</f>
        <v/>
      </c>
      <c r="M23" s="14" t="str">
        <f>if(TTM!M23="","",iferror(max(min(TTM!M23,1),-0.3),""))</f>
        <v/>
      </c>
      <c r="N23" s="14" t="str">
        <f>if(TTM!N23="","",iferror(max(min(TTM!N23,1),-0.3),""))</f>
        <v/>
      </c>
      <c r="O23" s="14" t="str">
        <f>if(TTM!O23="","",iferror(max(min(TTM!O23,1),-0.3),""))</f>
        <v/>
      </c>
      <c r="P23" s="14" t="str">
        <f>if(TTM!P23="","",iferror(max(min(TTM!P23,1),-0.3),""))</f>
        <v/>
      </c>
      <c r="Q23" s="14" t="str">
        <f>if(TTM!Q23="","",iferror(max(min(TTM!Q23,1),-0.3),""))</f>
        <v/>
      </c>
      <c r="R23" s="14"/>
      <c r="S23" s="14">
        <f>if(TTM!S23="","",iferror(max(min(TTM!S23,1),-0.3),""))</f>
        <v>1</v>
      </c>
      <c r="T23" s="14" t="str">
        <f>if(TTM!T23="","",iferror(max(min(TTM!T23,1),-0.3),""))</f>
        <v/>
      </c>
      <c r="U23" s="14" t="str">
        <f>if(TTM!U23="","",iferror(max(min(TTM!U23,1),-0.3),""))</f>
        <v/>
      </c>
      <c r="V23" s="14">
        <f>if(TTM!V23="","",iferror(max(min(TTM!V23,1),-0.3),""))</f>
        <v>1</v>
      </c>
      <c r="W23" s="14">
        <f>if(TTM!W23="","",iferror(max(min(TTM!W23,1),-0.3),""))</f>
        <v>0.566253179</v>
      </c>
      <c r="X23" s="14">
        <f>if(TTM!X23="","",iferror(max(min(TTM!X23,1),-0.3),""))</f>
        <v>0.2637155182</v>
      </c>
      <c r="Y23" s="14" t="str">
        <f>if(TTM!Y23="","",iferror(max(min(TTM!Y23,1),-0.3),""))</f>
        <v/>
      </c>
      <c r="Z23" s="14" t="str">
        <f>if(TTM!Z23="","",iferror(max(min(TTM!Z23,1),-0.3),""))</f>
        <v/>
      </c>
      <c r="AA23" s="14" t="str">
        <f>if(TTM!AA23="","",iferror(max(min(TTM!AA23,1),-0.3),""))</f>
        <v/>
      </c>
      <c r="AB23" s="14" t="str">
        <f>if(TTM!AB23="","",iferror(max(min(TTM!AB23,1),-0.3),""))</f>
        <v/>
      </c>
      <c r="AC23" s="14" t="str">
        <f>if(TTM!AC23="","",iferror(max(min(TTM!AC23,1),-0.3),""))</f>
        <v/>
      </c>
      <c r="AD23" s="12"/>
    </row>
    <row r="24">
      <c r="A24" s="15" t="s">
        <v>51</v>
      </c>
      <c r="B24" s="14" t="str">
        <f>if(TTM!B24="","",iferror(max(min(TTM!B24,1),-0.3),""))</f>
        <v/>
      </c>
      <c r="C24" s="14">
        <f>if(TTM!C24="","",iferror(max(min(TTM!C24,1),-0.3),""))</f>
        <v>-0.09750832714</v>
      </c>
      <c r="D24" s="14">
        <f>if(TTM!D24="","",iferror(max(min(TTM!D24,1),-0.3),""))</f>
        <v>1</v>
      </c>
      <c r="E24" s="14">
        <f>if(TTM!E24="","",iferror(max(min(TTM!E24,1),-0.3),""))</f>
        <v>1</v>
      </c>
      <c r="F24" s="14" t="str">
        <f>if(TTM!F24="","",iferror(max(min(TTM!F24,1),-0.3),""))</f>
        <v/>
      </c>
      <c r="G24" s="14" t="str">
        <f>if(TTM!G24="","",iferror(max(min(TTM!G24,1),-0.3),""))</f>
        <v/>
      </c>
      <c r="H24" s="14" t="str">
        <f>if(TTM!H24="","",iferror(max(min(TTM!H24,1),-0.3),""))</f>
        <v/>
      </c>
      <c r="I24" s="14" t="str">
        <f>if(TTM!I24="","",iferror(max(min(TTM!I24,1),-0.3),""))</f>
        <v/>
      </c>
      <c r="J24" s="14" t="str">
        <f>if(TTM!J24="","",iferror(max(min(TTM!J24,1),-0.3),""))</f>
        <v/>
      </c>
      <c r="K24" s="14" t="str">
        <f>if(TTM!K24="","",iferror(max(min(TTM!K24,1),-0.3),""))</f>
        <v/>
      </c>
      <c r="L24" s="14" t="str">
        <f>if(TTM!L24="","",iferror(max(min(TTM!L24,1),-0.3),""))</f>
        <v/>
      </c>
      <c r="M24" s="14" t="str">
        <f>if(TTM!M24="","",iferror(max(min(TTM!M24,1),-0.3),""))</f>
        <v/>
      </c>
      <c r="N24" s="14" t="str">
        <f>if(TTM!N24="","",iferror(max(min(TTM!N24,1),-0.3),""))</f>
        <v/>
      </c>
      <c r="O24" s="14" t="str">
        <f>if(TTM!O24="","",iferror(max(min(TTM!O24,1),-0.3),""))</f>
        <v/>
      </c>
      <c r="P24" s="14" t="str">
        <f>if(TTM!P24="","",iferror(max(min(TTM!P24,1),-0.3),""))</f>
        <v/>
      </c>
      <c r="Q24" s="14" t="str">
        <f>if(TTM!Q24="","",iferror(max(min(TTM!Q24,1),-0.3),""))</f>
        <v/>
      </c>
      <c r="R24" s="14"/>
      <c r="S24" s="14">
        <f>if(TTM!S24="","",iferror(max(min(TTM!S24,1),-0.3),""))</f>
        <v>1</v>
      </c>
      <c r="T24" s="14" t="str">
        <f>if(TTM!T24="","",iferror(max(min(TTM!T24,1),-0.3),""))</f>
        <v/>
      </c>
      <c r="U24" s="14" t="str">
        <f>if(TTM!U24="","",iferror(max(min(TTM!U24,1),-0.3),""))</f>
        <v/>
      </c>
      <c r="V24" s="14">
        <f>if(TTM!V24="","",iferror(max(min(TTM!V24,1),-0.3),""))</f>
        <v>1</v>
      </c>
      <c r="W24" s="14">
        <f>if(TTM!W24="","",iferror(max(min(TTM!W24,1),-0.3),""))</f>
        <v>0.566253179</v>
      </c>
      <c r="X24" s="14">
        <f>if(TTM!X24="","",iferror(max(min(TTM!X24,1),-0.3),""))</f>
        <v>0.3312628127</v>
      </c>
      <c r="Y24" s="14" t="str">
        <f>if(TTM!Y24="","",iferror(max(min(TTM!Y24,1),-0.3),""))</f>
        <v/>
      </c>
      <c r="Z24" s="14" t="str">
        <f>if(TTM!Z24="","",iferror(max(min(TTM!Z24,1),-0.3),""))</f>
        <v/>
      </c>
      <c r="AA24" s="14" t="str">
        <f>if(TTM!AA24="","",iferror(max(min(TTM!AA24,1),-0.3),""))</f>
        <v/>
      </c>
      <c r="AB24" s="14" t="str">
        <f>if(TTM!AB24="","",iferror(max(min(TTM!AB24,1),-0.3),""))</f>
        <v/>
      </c>
      <c r="AC24" s="14" t="str">
        <f>if(TTM!AC24="","",iferror(max(min(TTM!AC24,1),-0.3),""))</f>
        <v/>
      </c>
      <c r="AD24" s="12"/>
    </row>
    <row r="25">
      <c r="A25" s="15" t="s">
        <v>52</v>
      </c>
      <c r="B25" s="14" t="str">
        <f>if(TTM!B25="","",iferror(max(min(TTM!B25,1),-0.3),""))</f>
        <v/>
      </c>
      <c r="C25" s="14">
        <f>if(TTM!C25="","",iferror(max(min(TTM!C25,1),-0.3),""))</f>
        <v>-0.1205043532</v>
      </c>
      <c r="D25" s="14">
        <f>if(TTM!D25="","",iferror(max(min(TTM!D25,1),-0.3),""))</f>
        <v>1</v>
      </c>
      <c r="E25" s="14">
        <f>if(TTM!E25="","",iferror(max(min(TTM!E25,1),-0.3),""))</f>
        <v>1</v>
      </c>
      <c r="F25" s="14" t="str">
        <f>if(TTM!F25="","",iferror(max(min(TTM!F25,1),-0.3),""))</f>
        <v/>
      </c>
      <c r="G25" s="14" t="str">
        <f>if(TTM!G25="","",iferror(max(min(TTM!G25,1),-0.3),""))</f>
        <v/>
      </c>
      <c r="H25" s="14" t="str">
        <f>if(TTM!H25="","",iferror(max(min(TTM!H25,1),-0.3),""))</f>
        <v/>
      </c>
      <c r="I25" s="14" t="str">
        <f>if(TTM!I25="","",iferror(max(min(TTM!I25,1),-0.3),""))</f>
        <v/>
      </c>
      <c r="J25" s="14" t="str">
        <f>if(TTM!J25="","",iferror(max(min(TTM!J25,1),-0.3),""))</f>
        <v/>
      </c>
      <c r="K25" s="14" t="str">
        <f>if(TTM!K25="","",iferror(max(min(TTM!K25,1),-0.3),""))</f>
        <v/>
      </c>
      <c r="L25" s="14" t="str">
        <f>if(TTM!L25="","",iferror(max(min(TTM!L25,1),-0.3),""))</f>
        <v/>
      </c>
      <c r="M25" s="14" t="str">
        <f>if(TTM!M25="","",iferror(max(min(TTM!M25,1),-0.3),""))</f>
        <v/>
      </c>
      <c r="N25" s="14" t="str">
        <f>if(TTM!N25="","",iferror(max(min(TTM!N25,1),-0.3),""))</f>
        <v/>
      </c>
      <c r="O25" s="14">
        <f>if(TTM!O25="","",iferror(max(min(TTM!O25,1),-0.3),""))</f>
        <v>1</v>
      </c>
      <c r="P25" s="14" t="str">
        <f>if(TTM!P25="","",iferror(max(min(TTM!P25,1),-0.3),""))</f>
        <v/>
      </c>
      <c r="Q25" s="14" t="str">
        <f>if(TTM!Q25="","",iferror(max(min(TTM!Q25,1),-0.3),""))</f>
        <v/>
      </c>
      <c r="R25" s="14"/>
      <c r="S25" s="14">
        <f>if(TTM!S25="","",iferror(max(min(TTM!S25,1),-0.3),""))</f>
        <v>1</v>
      </c>
      <c r="T25" s="14" t="str">
        <f>if(TTM!T25="","",iferror(max(min(TTM!T25,1),-0.3),""))</f>
        <v/>
      </c>
      <c r="U25" s="14" t="str">
        <f>if(TTM!U25="","",iferror(max(min(TTM!U25,1),-0.3),""))</f>
        <v/>
      </c>
      <c r="V25" s="14">
        <f>if(TTM!V25="","",iferror(max(min(TTM!V25,1),-0.3),""))</f>
        <v>1</v>
      </c>
      <c r="W25" s="14" t="str">
        <f>if(TTM!W26="","",iferror(max(min(TTM!W26,1),-0.3),""))</f>
        <v/>
      </c>
      <c r="X25" s="14">
        <f>if(TTM!X26="","",iferror(max(min(TTM!X26,1),-0.3),""))</f>
        <v>-0.2349205831</v>
      </c>
      <c r="Y25" s="14" t="str">
        <f>if(TTM!Y26="","",iferror(max(min(TTM!Y26,1),-0.3),""))</f>
        <v/>
      </c>
      <c r="Z25" s="14" t="str">
        <f>if(TTM!Z26="","",iferror(max(min(TTM!Z26,1),-0.3),""))</f>
        <v/>
      </c>
      <c r="AA25" s="14" t="str">
        <f>if(TTM!AA26="","",iferror(max(min(TTM!AA26,1),-0.3),""))</f>
        <v/>
      </c>
      <c r="AB25" s="14" t="str">
        <f>if(TTM!AB26="","",iferror(max(min(TTM!AB26,1),-0.3),""))</f>
        <v/>
      </c>
      <c r="AC25" s="14" t="str">
        <f>if(TTM!AC26="","",iferror(max(min(TTM!AC26,1),-0.3),""))</f>
        <v/>
      </c>
      <c r="AD25" s="12"/>
    </row>
    <row r="26">
      <c r="A26" s="15" t="s">
        <v>53</v>
      </c>
      <c r="B26" s="14" t="str">
        <f>if(TTM!B26="","",iferror(max(min(TTM!B26,1),-0.3),""))</f>
        <v/>
      </c>
      <c r="C26" s="14">
        <f>if(TTM!C26="","",iferror(max(min(TTM!C26,1),-0.3),""))</f>
        <v>-0.1435003793</v>
      </c>
      <c r="D26" s="14">
        <f>if(TTM!D26="","",iferror(max(min(TTM!D26,1),-0.3),""))</f>
        <v>1</v>
      </c>
      <c r="E26" s="14">
        <f>if(TTM!E26="","",iferror(max(min(TTM!E26,1),-0.3),""))</f>
        <v>1</v>
      </c>
      <c r="F26" s="14" t="str">
        <f>if(TTM!F26="","",iferror(max(min(TTM!F26,1),-0.3),""))</f>
        <v/>
      </c>
      <c r="G26" s="14" t="str">
        <f>if(TTM!G26="","",iferror(max(min(TTM!G26,1),-0.3),""))</f>
        <v/>
      </c>
      <c r="H26" s="14" t="str">
        <f>if(TTM!H26="","",iferror(max(min(TTM!H26,1),-0.3),""))</f>
        <v/>
      </c>
      <c r="I26" s="14" t="str">
        <f>if(TTM!I26="","",iferror(max(min(TTM!I26,1),-0.3),""))</f>
        <v/>
      </c>
      <c r="J26" s="14" t="str">
        <f>if(TTM!J26="","",iferror(max(min(TTM!J26,1),-0.3),""))</f>
        <v/>
      </c>
      <c r="K26" s="14" t="str">
        <f>if(TTM!K26="","",iferror(max(min(TTM!K26,1),-0.3),""))</f>
        <v/>
      </c>
      <c r="L26" s="14" t="str">
        <f>if(TTM!L26="","",iferror(max(min(TTM!L26,1),-0.3),""))</f>
        <v/>
      </c>
      <c r="M26" s="14" t="str">
        <f>if(TTM!M26="","",iferror(max(min(TTM!M26,1),-0.3),""))</f>
        <v/>
      </c>
      <c r="N26" s="14" t="str">
        <f>if(TTM!N26="","",iferror(max(min(TTM!N26,1),-0.3),""))</f>
        <v/>
      </c>
      <c r="O26" s="14">
        <f>if(TTM!O26="","",iferror(max(min(TTM!O26,1),-0.3),""))</f>
        <v>1</v>
      </c>
      <c r="P26" s="14" t="str">
        <f>if(TTM!P26="","",iferror(max(min(TTM!P26,1),-0.3),""))</f>
        <v/>
      </c>
      <c r="Q26" s="14" t="str">
        <f>if(TTM!Q26="","",iferror(max(min(TTM!Q26,1),-0.3),""))</f>
        <v/>
      </c>
      <c r="R26" s="14"/>
      <c r="S26" s="14">
        <f>if(TTM!S26="","",iferror(max(min(TTM!S26,1),-0.3),""))</f>
        <v>1</v>
      </c>
      <c r="T26" s="14" t="str">
        <f>if(TTM!T26="","",iferror(max(min(TTM!T26,1),-0.3),""))</f>
        <v/>
      </c>
      <c r="U26" s="14" t="str">
        <f>if(TTM!U26="","",iferror(max(min(TTM!U26,1),-0.3),""))</f>
        <v/>
      </c>
      <c r="V26" s="14">
        <f>if(TTM!V26="","",iferror(max(min(TTM!V26,1),-0.3),""))</f>
        <v>1</v>
      </c>
      <c r="AD26" s="12"/>
    </row>
    <row r="27">
      <c r="A27" s="15" t="s">
        <v>54</v>
      </c>
      <c r="B27" s="14" t="str">
        <f>if(TTM!B27="","",iferror(max(min(TTM!B27,1),-0.3),""))</f>
        <v/>
      </c>
      <c r="C27" s="14">
        <f>if(TTM!C27="","",iferror(max(min(TTM!C27,1),-0.3),""))</f>
        <v>-0.1424858274</v>
      </c>
      <c r="D27" s="14">
        <f>if(TTM!D27="","",iferror(max(min(TTM!D27,1),-0.3),""))</f>
        <v>1</v>
      </c>
      <c r="E27" s="14">
        <f>if(TTM!E27="","",iferror(max(min(TTM!E27,1),-0.3),""))</f>
        <v>1</v>
      </c>
      <c r="F27" s="14" t="str">
        <f>if(TTM!F27="","",iferror(max(min(TTM!F27,1),-0.3),""))</f>
        <v/>
      </c>
      <c r="G27" s="14" t="str">
        <f>if(TTM!G27="","",iferror(max(min(TTM!G27,1),-0.3),""))</f>
        <v/>
      </c>
      <c r="H27" s="14" t="str">
        <f>if(TTM!H27="","",iferror(max(min(TTM!H27,1),-0.3),""))</f>
        <v/>
      </c>
      <c r="I27" s="14" t="str">
        <f>if(TTM!I27="","",iferror(max(min(TTM!I27,1),-0.3),""))</f>
        <v/>
      </c>
      <c r="J27" s="14" t="str">
        <f>if(TTM!J27="","",iferror(max(min(TTM!J27,1),-0.3),""))</f>
        <v/>
      </c>
      <c r="K27" s="14" t="str">
        <f>if(TTM!K27="","",iferror(max(min(TTM!K27,1),-0.3),""))</f>
        <v/>
      </c>
      <c r="L27" s="14" t="str">
        <f>if(TTM!L27="","",iferror(max(min(TTM!L27,1),-0.3),""))</f>
        <v/>
      </c>
      <c r="M27" s="14" t="str">
        <f>if(TTM!M27="","",iferror(max(min(TTM!M27,1),-0.3),""))</f>
        <v/>
      </c>
      <c r="N27" s="14" t="str">
        <f>if(TTM!N27="","",iferror(max(min(TTM!N27,1),-0.3),""))</f>
        <v/>
      </c>
      <c r="O27" s="14">
        <f>if(TTM!O27="","",iferror(max(min(TTM!O27,1),-0.3),""))</f>
        <v>1</v>
      </c>
      <c r="P27" s="14" t="str">
        <f>if(TTM!P27="","",iferror(max(min(TTM!P27,1),-0.3),""))</f>
        <v/>
      </c>
      <c r="Q27" s="14" t="str">
        <f>if(TTM!Q27="","",iferror(max(min(TTM!Q27,1),-0.3),""))</f>
        <v/>
      </c>
      <c r="R27" s="14"/>
      <c r="S27" s="14">
        <f>if(TTM!S27="","",iferror(max(min(TTM!S27,1),-0.3),""))</f>
        <v>1</v>
      </c>
      <c r="T27" s="14" t="str">
        <f>if(TTM!T27="","",iferror(max(min(TTM!T27,1),-0.3),""))</f>
        <v/>
      </c>
      <c r="U27" s="14" t="str">
        <f>if(TTM!U27="","",iferror(max(min(TTM!U27,1),-0.3),""))</f>
        <v/>
      </c>
      <c r="V27" s="14">
        <f>if(TTM!V27="","",iferror(max(min(TTM!V27,1),-0.3),""))</f>
        <v>1</v>
      </c>
      <c r="W27" s="14" t="str">
        <f>if(TTM!W27="","",iferror(max(min(TTM!W27,1),-0.3),""))</f>
        <v/>
      </c>
      <c r="X27" s="14">
        <f>if(TTM!X27="","",iferror(max(min(TTM!X27,1),-0.3),""))</f>
        <v>-0.3</v>
      </c>
      <c r="Y27" s="14" t="str">
        <f>if(TTM!Y27="","",iferror(max(min(TTM!Y27,1),-0.3),""))</f>
        <v/>
      </c>
      <c r="Z27" s="14" t="str">
        <f>if(TTM!Z27="","",iferror(max(min(TTM!Z27,1),-0.3),""))</f>
        <v/>
      </c>
      <c r="AA27" s="14" t="str">
        <f>if(TTM!AA27="","",iferror(max(min(TTM!AA27,1),-0.3),""))</f>
        <v/>
      </c>
      <c r="AB27" s="14" t="str">
        <f>if(TTM!AB27="","",iferror(max(min(TTM!AB27,1),-0.3),""))</f>
        <v/>
      </c>
      <c r="AC27" s="14" t="str">
        <f>if(TTM!AC27="","",iferror(max(min(TTM!AC27,1),-0.3),""))</f>
        <v/>
      </c>
      <c r="AD27" s="12"/>
    </row>
    <row r="28">
      <c r="A28" s="15" t="s">
        <v>55</v>
      </c>
      <c r="B28" s="14" t="str">
        <f>if(TTM!B28="","",iferror(max(min(TTM!B28,1),-0.3),""))</f>
        <v/>
      </c>
      <c r="C28" s="14">
        <f>if(TTM!C28="","",iferror(max(min(TTM!C28,1),-0.3),""))</f>
        <v>-0.1414712754</v>
      </c>
      <c r="D28" s="14">
        <f>if(TTM!D28="","",iferror(max(min(TTM!D28,1),-0.3),""))</f>
        <v>1</v>
      </c>
      <c r="E28" s="14">
        <f>if(TTM!E28="","",iferror(max(min(TTM!E28,1),-0.3),""))</f>
        <v>1</v>
      </c>
      <c r="F28" s="14" t="str">
        <f>if(TTM!F28="","",iferror(max(min(TTM!F28,1),-0.3),""))</f>
        <v/>
      </c>
      <c r="G28" s="14" t="str">
        <f>if(TTM!G28="","",iferror(max(min(TTM!G28,1),-0.3),""))</f>
        <v/>
      </c>
      <c r="H28" s="14" t="str">
        <f>if(TTM!H28="","",iferror(max(min(TTM!H28,1),-0.3),""))</f>
        <v/>
      </c>
      <c r="I28" s="14" t="str">
        <f>if(TTM!I28="","",iferror(max(min(TTM!I28,1),-0.3),""))</f>
        <v/>
      </c>
      <c r="J28" s="14" t="str">
        <f>if(TTM!J28="","",iferror(max(min(TTM!J28,1),-0.3),""))</f>
        <v/>
      </c>
      <c r="K28" s="14" t="str">
        <f>if(TTM!K28="","",iferror(max(min(TTM!K28,1),-0.3),""))</f>
        <v/>
      </c>
      <c r="L28" s="14" t="str">
        <f>if(TTM!L28="","",iferror(max(min(TTM!L28,1),-0.3),""))</f>
        <v/>
      </c>
      <c r="M28" s="14" t="str">
        <f>if(TTM!M28="","",iferror(max(min(TTM!M28,1),-0.3),""))</f>
        <v/>
      </c>
      <c r="N28" s="14" t="str">
        <f>if(TTM!N28="","",iferror(max(min(TTM!N28,1),-0.3),""))</f>
        <v/>
      </c>
      <c r="O28" s="14">
        <f>if(TTM!O28="","",iferror(max(min(TTM!O28,1),-0.3),""))</f>
        <v>0.7384760113</v>
      </c>
      <c r="P28" s="14" t="str">
        <f>if(TTM!P28="","",iferror(max(min(TTM!P28,1),-0.3),""))</f>
        <v/>
      </c>
      <c r="Q28" s="14" t="str">
        <f>if(TTM!Q28="","",iferror(max(min(TTM!Q28,1),-0.3),""))</f>
        <v/>
      </c>
      <c r="R28" s="14"/>
      <c r="S28" s="14">
        <f>if(TTM!S28="","",iferror(max(min(TTM!S28,1),-0.3),""))</f>
        <v>1</v>
      </c>
      <c r="T28" s="14" t="str">
        <f>if(TTM!T28="","",iferror(max(min(TTM!T28,1),-0.3),""))</f>
        <v/>
      </c>
      <c r="U28" s="14" t="str">
        <f>if(TTM!U28="","",iferror(max(min(TTM!U28,1),-0.3),""))</f>
        <v/>
      </c>
      <c r="V28" s="14">
        <f>if(TTM!V28="","",iferror(max(min(TTM!V28,1),-0.3),""))</f>
        <v>1</v>
      </c>
      <c r="W28" s="14" t="str">
        <f>if(TTM!W28="","",iferror(max(min(TTM!W28,1),-0.3),""))</f>
        <v/>
      </c>
      <c r="X28" s="14">
        <f>if(TTM!X28="","",iferror(max(min(TTM!X28,1),-0.3),""))</f>
        <v>-0.3</v>
      </c>
      <c r="Y28" s="14" t="str">
        <f>if(TTM!Y28="","",iferror(max(min(TTM!Y28,1),-0.3),""))</f>
        <v/>
      </c>
      <c r="Z28" s="14" t="str">
        <f>if(TTM!Z28="","",iferror(max(min(TTM!Z28,1),-0.3),""))</f>
        <v/>
      </c>
      <c r="AA28" s="14" t="str">
        <f>if(TTM!AA28="","",iferror(max(min(TTM!AA28,1),-0.3),""))</f>
        <v/>
      </c>
      <c r="AB28" s="14" t="str">
        <f>if(TTM!AB28="","",iferror(max(min(TTM!AB28,1),-0.3),""))</f>
        <v/>
      </c>
      <c r="AC28" s="14" t="str">
        <f>if(TTM!AC28="","",iferror(max(min(TTM!AC28,1),-0.3),""))</f>
        <v/>
      </c>
      <c r="AD28" s="12"/>
    </row>
    <row r="29">
      <c r="A29" s="15" t="s">
        <v>56</v>
      </c>
      <c r="B29" s="14" t="str">
        <f>if(TTM!B29="","",iferror(max(min(TTM!B29,1),-0.3),""))</f>
        <v/>
      </c>
      <c r="C29" s="14">
        <f>if(TTM!C29="","",iferror(max(min(TTM!C29,1),-0.3),""))</f>
        <v>-0.1404567235</v>
      </c>
      <c r="D29" s="14">
        <f>if(TTM!D29="","",iferror(max(min(TTM!D29,1),-0.3),""))</f>
        <v>1</v>
      </c>
      <c r="E29" s="14">
        <f>if(TTM!E29="","",iferror(max(min(TTM!E29,1),-0.3),""))</f>
        <v>0.8972147422</v>
      </c>
      <c r="F29" s="14" t="str">
        <f>if(TTM!F29="","",iferror(max(min(TTM!F29,1),-0.3),""))</f>
        <v/>
      </c>
      <c r="G29" s="14" t="str">
        <f>if(TTM!G29="","",iferror(max(min(TTM!G29,1),-0.3),""))</f>
        <v/>
      </c>
      <c r="H29" s="14" t="str">
        <f>if(TTM!H29="","",iferror(max(min(TTM!H29,1),-0.3),""))</f>
        <v/>
      </c>
      <c r="I29" s="14" t="str">
        <f>if(TTM!I29="","",iferror(max(min(TTM!I29,1),-0.3),""))</f>
        <v/>
      </c>
      <c r="J29" s="14" t="str">
        <f>if(TTM!J29="","",iferror(max(min(TTM!J29,1),-0.3),""))</f>
        <v/>
      </c>
      <c r="K29" s="14" t="str">
        <f>if(TTM!K29="","",iferror(max(min(TTM!K29,1),-0.3),""))</f>
        <v/>
      </c>
      <c r="L29" s="14" t="str">
        <f>if(TTM!L29="","",iferror(max(min(TTM!L29,1),-0.3),""))</f>
        <v/>
      </c>
      <c r="M29" s="14" t="str">
        <f>if(TTM!M29="","",iferror(max(min(TTM!M29,1),-0.3),""))</f>
        <v/>
      </c>
      <c r="N29" s="14" t="str">
        <f>if(TTM!N29="","",iferror(max(min(TTM!N29,1),-0.3),""))</f>
        <v/>
      </c>
      <c r="O29" s="14">
        <f>if(TTM!O29="","",iferror(max(min(TTM!O29,1),-0.3),""))</f>
        <v>0.5719847141</v>
      </c>
      <c r="P29" s="14" t="str">
        <f>if(TTM!P29="","",iferror(max(min(TTM!P29,1),-0.3),""))</f>
        <v/>
      </c>
      <c r="Q29" s="14" t="str">
        <f>if(TTM!Q29="","",iferror(max(min(TTM!Q29,1),-0.3),""))</f>
        <v/>
      </c>
      <c r="R29" s="14"/>
      <c r="S29" s="14">
        <f>if(TTM!S29="","",iferror(max(min(TTM!S29,1),-0.3),""))</f>
        <v>1</v>
      </c>
      <c r="T29" s="14" t="str">
        <f>if(TTM!T29="","",iferror(max(min(TTM!T29,1),-0.3),""))</f>
        <v/>
      </c>
      <c r="U29" s="14" t="str">
        <f>if(TTM!U29="","",iferror(max(min(TTM!U29,1),-0.3),""))</f>
        <v/>
      </c>
      <c r="V29" s="14">
        <f>if(TTM!V29="","",iferror(max(min(TTM!V29,1),-0.3),""))</f>
        <v>1</v>
      </c>
      <c r="W29" s="14" t="str">
        <f>if(TTM!W29="","",iferror(max(min(TTM!W29,1),-0.3),""))</f>
        <v/>
      </c>
      <c r="X29" s="14">
        <f>if(TTM!X29="","",iferror(max(min(TTM!X29,1),-0.3),""))</f>
        <v>-0.3</v>
      </c>
      <c r="Y29" s="14" t="str">
        <f>if(TTM!Y29="","",iferror(max(min(TTM!Y29,1),-0.3),""))</f>
        <v/>
      </c>
      <c r="Z29" s="14" t="str">
        <f>if(TTM!Z29="","",iferror(max(min(TTM!Z29,1),-0.3),""))</f>
        <v/>
      </c>
      <c r="AA29" s="14" t="str">
        <f>if(TTM!AA29="","",iferror(max(min(TTM!AA29,1),-0.3),""))</f>
        <v/>
      </c>
      <c r="AB29" s="14" t="str">
        <f>if(TTM!AB29="","",iferror(max(min(TTM!AB29,1),-0.3),""))</f>
        <v/>
      </c>
      <c r="AC29" s="14" t="str">
        <f>if(TTM!AC29="","",iferror(max(min(TTM!AC29,1),-0.3),""))</f>
        <v/>
      </c>
      <c r="AD29" s="12"/>
    </row>
    <row r="30">
      <c r="A30" s="15" t="s">
        <v>57</v>
      </c>
      <c r="B30" s="14" t="str">
        <f>if(TTM!B30="","",iferror(max(min(TTM!B30,1),-0.3),""))</f>
        <v/>
      </c>
      <c r="C30" s="14">
        <f>if(TTM!C30="","",iferror(max(min(TTM!C30,1),-0.3),""))</f>
        <v>-0.1394421715</v>
      </c>
      <c r="D30" s="14">
        <f>if(TTM!D30="","",iferror(max(min(TTM!D30,1),-0.3),""))</f>
        <v>0.56083785</v>
      </c>
      <c r="E30" s="14">
        <f>if(TTM!E30="","",iferror(max(min(TTM!E30,1),-0.3),""))</f>
        <v>0.7637182637</v>
      </c>
      <c r="F30" s="14" t="str">
        <f>if(TTM!F30="","",iferror(max(min(TTM!F30,1),-0.3),""))</f>
        <v/>
      </c>
      <c r="G30" s="14" t="str">
        <f>if(TTM!G30="","",iferror(max(min(TTM!G30,1),-0.3),""))</f>
        <v/>
      </c>
      <c r="H30" s="14" t="str">
        <f>if(TTM!H30="","",iferror(max(min(TTM!H30,1),-0.3),""))</f>
        <v/>
      </c>
      <c r="I30" s="14" t="str">
        <f>if(TTM!I30="","",iferror(max(min(TTM!I30,1),-0.3),""))</f>
        <v/>
      </c>
      <c r="J30" s="14" t="str">
        <f>if(TTM!J30="","",iferror(max(min(TTM!J30,1),-0.3),""))</f>
        <v/>
      </c>
      <c r="K30" s="14" t="str">
        <f>if(TTM!K30="","",iferror(max(min(TTM!K30,1),-0.3),""))</f>
        <v/>
      </c>
      <c r="L30" s="14" t="str">
        <f>if(TTM!L30="","",iferror(max(min(TTM!L30,1),-0.3),""))</f>
        <v/>
      </c>
      <c r="M30" s="14" t="str">
        <f>if(TTM!M30="","",iferror(max(min(TTM!M30,1),-0.3),""))</f>
        <v/>
      </c>
      <c r="N30" s="14" t="str">
        <f>if(TTM!N30="","",iferror(max(min(TTM!N30,1),-0.3),""))</f>
        <v/>
      </c>
      <c r="O30" s="14">
        <f>if(TTM!O30="","",iferror(max(min(TTM!O30,1),-0.3),""))</f>
        <v>0.4054934169</v>
      </c>
      <c r="P30" s="14" t="str">
        <f>if(TTM!P30="","",iferror(max(min(TTM!P30,1),-0.3),""))</f>
        <v/>
      </c>
      <c r="Q30" s="14" t="str">
        <f>if(TTM!Q30="","",iferror(max(min(TTM!Q30,1),-0.3),""))</f>
        <v/>
      </c>
      <c r="R30" s="14"/>
      <c r="S30" s="14">
        <f>if(TTM!S30="","",iferror(max(min(TTM!S30,1),-0.3),""))</f>
        <v>1</v>
      </c>
      <c r="T30" s="14" t="str">
        <f>if(TTM!T30="","",iferror(max(min(TTM!T30,1),-0.3),""))</f>
        <v/>
      </c>
      <c r="U30" s="14" t="str">
        <f>if(TTM!U30="","",iferror(max(min(TTM!U30,1),-0.3),""))</f>
        <v/>
      </c>
      <c r="V30" s="14">
        <f>if(TTM!V30="","",iferror(max(min(TTM!V30,1),-0.3),""))</f>
        <v>0.3779271836</v>
      </c>
      <c r="W30" s="14" t="str">
        <f>if(TTM!W30="","",iferror(max(min(TTM!W30,1),-0.3),""))</f>
        <v/>
      </c>
      <c r="X30" s="14">
        <f>if(TTM!X30="","",iferror(max(min(TTM!X30,1),-0.3),""))</f>
        <v>-0.2411372311</v>
      </c>
      <c r="Y30" s="14" t="str">
        <f>if(TTM!Y30="","",iferror(max(min(TTM!Y30,1),-0.3),""))</f>
        <v/>
      </c>
      <c r="Z30" s="14" t="str">
        <f>if(TTM!Z30="","",iferror(max(min(TTM!Z30,1),-0.3),""))</f>
        <v/>
      </c>
      <c r="AA30" s="14" t="str">
        <f>if(TTM!AA30="","",iferror(max(min(TTM!AA30,1),-0.3),""))</f>
        <v/>
      </c>
      <c r="AB30" s="14" t="str">
        <f>if(TTM!AB30="","",iferror(max(min(TTM!AB30,1),-0.3),""))</f>
        <v/>
      </c>
      <c r="AC30" s="14" t="str">
        <f>if(TTM!AC30="","",iferror(max(min(TTM!AC30,1),-0.3),""))</f>
        <v/>
      </c>
      <c r="AD30" s="12"/>
    </row>
    <row r="31">
      <c r="A31" s="15" t="s">
        <v>58</v>
      </c>
      <c r="B31" s="14" t="str">
        <f>if(TTM!B31="","",iferror(max(min(TTM!B31,1),-0.3),""))</f>
        <v/>
      </c>
      <c r="C31" s="14">
        <f>if(TTM!C31="","",iferror(max(min(TTM!C31,1),-0.3),""))</f>
        <v>-0.08990254739</v>
      </c>
      <c r="D31" s="14">
        <f>if(TTM!D31="","",iferror(max(min(TTM!D31,1),-0.3),""))</f>
        <v>0.3675472225</v>
      </c>
      <c r="E31" s="14">
        <f>if(TTM!E31="","",iferror(max(min(TTM!E31,1),-0.3),""))</f>
        <v>0.7972837059</v>
      </c>
      <c r="F31" s="14" t="str">
        <f>if(TTM!F31="","",iferror(max(min(TTM!F31,1),-0.3),""))</f>
        <v/>
      </c>
      <c r="G31" s="14" t="str">
        <f>if(TTM!G31="","",iferror(max(min(TTM!G31,1),-0.3),""))</f>
        <v/>
      </c>
      <c r="H31" s="14" t="str">
        <f>if(TTM!H31="","",iferror(max(min(TTM!H31,1),-0.3),""))</f>
        <v/>
      </c>
      <c r="I31" s="14" t="str">
        <f>if(TTM!I31="","",iferror(max(min(TTM!I31,1),-0.3),""))</f>
        <v/>
      </c>
      <c r="J31" s="14" t="str">
        <f>if(TTM!J31="","",iferror(max(min(TTM!J31,1),-0.3),""))</f>
        <v/>
      </c>
      <c r="K31" s="14" t="str">
        <f>if(TTM!K31="","",iferror(max(min(TTM!K31,1),-0.3),""))</f>
        <v/>
      </c>
      <c r="L31" s="14" t="str">
        <f>if(TTM!L31="","",iferror(max(min(TTM!L31,1),-0.3),""))</f>
        <v/>
      </c>
      <c r="M31" s="14" t="str">
        <f>if(TTM!M31="","",iferror(max(min(TTM!M31,1),-0.3),""))</f>
        <v/>
      </c>
      <c r="N31" s="14" t="str">
        <f>if(TTM!N31="","",iferror(max(min(TTM!N31,1),-0.3),""))</f>
        <v/>
      </c>
      <c r="O31" s="14">
        <f>if(TTM!O31="","",iferror(max(min(TTM!O31,1),-0.3),""))</f>
        <v>0.2390021197</v>
      </c>
      <c r="P31" s="14" t="str">
        <f>if(TTM!P31="","",iferror(max(min(TTM!P31,1),-0.3),""))</f>
        <v/>
      </c>
      <c r="Q31" s="14" t="str">
        <f>if(TTM!Q31="","",iferror(max(min(TTM!Q31,1),-0.3),""))</f>
        <v/>
      </c>
      <c r="R31" s="14"/>
      <c r="S31" s="14">
        <f>if(TTM!S31="","",iferror(max(min(TTM!S31,1),-0.3),""))</f>
        <v>1</v>
      </c>
      <c r="T31" s="14" t="str">
        <f>if(TTM!T31="","",iferror(max(min(TTM!T31,1),-0.3),""))</f>
        <v/>
      </c>
      <c r="U31" s="14" t="str">
        <f>if(TTM!U31="","",iferror(max(min(TTM!U31,1),-0.3),""))</f>
        <v/>
      </c>
      <c r="V31" s="14">
        <f>if(TTM!V31="","",iferror(max(min(TTM!V31,1),-0.3),""))</f>
        <v>0.285678269</v>
      </c>
      <c r="W31" s="14" t="str">
        <f>if(TTM!W31="","",iferror(max(min(TTM!W31,1),-0.3),""))</f>
        <v/>
      </c>
      <c r="X31" s="14">
        <f>if(TTM!X31="","",iferror(max(min(TTM!X31,1),-0.3),""))</f>
        <v>0.0388461427</v>
      </c>
      <c r="Y31" s="14" t="str">
        <f>if(TTM!Y31="","",iferror(max(min(TTM!Y31,1),-0.3),""))</f>
        <v/>
      </c>
      <c r="Z31" s="14" t="str">
        <f>if(TTM!Z31="","",iferror(max(min(TTM!Z31,1),-0.3),""))</f>
        <v/>
      </c>
      <c r="AA31" s="14" t="str">
        <f>if(TTM!AA31="","",iferror(max(min(TTM!AA31,1),-0.3),""))</f>
        <v/>
      </c>
      <c r="AB31" s="14" t="str">
        <f>if(TTM!AB31="","",iferror(max(min(TTM!AB31,1),-0.3),""))</f>
        <v/>
      </c>
      <c r="AC31" s="14" t="str">
        <f>if(TTM!AC31="","",iferror(max(min(TTM!AC31,1),-0.3),""))</f>
        <v/>
      </c>
      <c r="AD31" s="12"/>
    </row>
    <row r="32">
      <c r="A32" s="15" t="s">
        <v>59</v>
      </c>
      <c r="B32" s="14" t="str">
        <f>if(TTM!B32="","",iferror(max(min(TTM!B32,1),-0.3),""))</f>
        <v/>
      </c>
      <c r="C32" s="14">
        <f>if(TTM!C32="","",iferror(max(min(TTM!C32,1),-0.3),""))</f>
        <v>-0.04036292324</v>
      </c>
      <c r="D32" s="14">
        <f>if(TTM!D32="","",iferror(max(min(TTM!D32,1),-0.3),""))</f>
        <v>0.1742565949</v>
      </c>
      <c r="E32" s="14">
        <f>if(TTM!E32="","",iferror(max(min(TTM!E32,1),-0.3),""))</f>
        <v>0.8308491481</v>
      </c>
      <c r="F32" s="14" t="str">
        <f>if(TTM!F32="","",iferror(max(min(TTM!F32,1),-0.3),""))</f>
        <v/>
      </c>
      <c r="G32" s="14" t="str">
        <f>if(TTM!G32="","",iferror(max(min(TTM!G32,1),-0.3),""))</f>
        <v/>
      </c>
      <c r="H32" s="14" t="str">
        <f>if(TTM!H32="","",iferror(max(min(TTM!H32,1),-0.3),""))</f>
        <v/>
      </c>
      <c r="I32" s="14" t="str">
        <f>if(TTM!I32="","",iferror(max(min(TTM!I32,1),-0.3),""))</f>
        <v/>
      </c>
      <c r="J32" s="14" t="str">
        <f>if(TTM!J32="","",iferror(max(min(TTM!J32,1),-0.3),""))</f>
        <v/>
      </c>
      <c r="K32" s="14" t="str">
        <f>if(TTM!K32="","",iferror(max(min(TTM!K32,1),-0.3),""))</f>
        <v/>
      </c>
      <c r="L32" s="14" t="str">
        <f>if(TTM!L32="","",iferror(max(min(TTM!L32,1),-0.3),""))</f>
        <v/>
      </c>
      <c r="M32" s="14" t="str">
        <f>if(TTM!M32="","",iferror(max(min(TTM!M32,1),-0.3),""))</f>
        <v/>
      </c>
      <c r="N32" s="14" t="str">
        <f>if(TTM!N32="","",iferror(max(min(TTM!N32,1),-0.3),""))</f>
        <v/>
      </c>
      <c r="O32" s="14">
        <f>if(TTM!O32="","",iferror(max(min(TTM!O32,1),-0.3),""))</f>
        <v>0.07251082251</v>
      </c>
      <c r="P32" s="14" t="str">
        <f>if(TTM!P32="","",iferror(max(min(TTM!P32,1),-0.3),""))</f>
        <v/>
      </c>
      <c r="Q32" s="14" t="str">
        <f>if(TTM!Q32="","",iferror(max(min(TTM!Q32,1),-0.3),""))</f>
        <v/>
      </c>
      <c r="R32" s="14"/>
      <c r="S32" s="14">
        <f>if(TTM!S32="","",iferror(max(min(TTM!S32,1),-0.3),""))</f>
        <v>1</v>
      </c>
      <c r="T32" s="14" t="str">
        <f>if(TTM!T32="","",iferror(max(min(TTM!T32,1),-0.3),""))</f>
        <v/>
      </c>
      <c r="U32" s="14" t="str">
        <f>if(TTM!U32="","",iferror(max(min(TTM!U32,1),-0.3),""))</f>
        <v/>
      </c>
      <c r="V32" s="14">
        <f>if(TTM!V32="","",iferror(max(min(TTM!V32,1),-0.3),""))</f>
        <v>0.1934293543</v>
      </c>
      <c r="W32" s="14" t="str">
        <f>if(TTM!W32="","",iferror(max(min(TTM!W32,1),-0.3),""))</f>
        <v/>
      </c>
      <c r="X32" s="14">
        <f>if(TTM!X32="","",iferror(max(min(TTM!X32,1),-0.3),""))</f>
        <v>0.3188295165</v>
      </c>
      <c r="Y32" s="14" t="str">
        <f>if(TTM!Y32="","",iferror(max(min(TTM!Y32,1),-0.3),""))</f>
        <v/>
      </c>
      <c r="Z32" s="14" t="str">
        <f>if(TTM!Z32="","",iferror(max(min(TTM!Z32,1),-0.3),""))</f>
        <v/>
      </c>
      <c r="AA32" s="14" t="str">
        <f>if(TTM!AA32="","",iferror(max(min(TTM!AA32,1),-0.3),""))</f>
        <v/>
      </c>
      <c r="AB32" s="14" t="str">
        <f>if(TTM!AB32="","",iferror(max(min(TTM!AB32,1),-0.3),""))</f>
        <v/>
      </c>
      <c r="AC32" s="14" t="str">
        <f>if(TTM!AC32="","",iferror(max(min(TTM!AC32,1),-0.3),""))</f>
        <v/>
      </c>
      <c r="AD32" s="12"/>
    </row>
    <row r="33">
      <c r="A33" s="15" t="s">
        <v>60</v>
      </c>
      <c r="B33" s="14" t="str">
        <f>if(TTM!B33="","",iferror(max(min(TTM!B33,1),-0.3),""))</f>
        <v/>
      </c>
      <c r="C33" s="14">
        <f>if(TTM!C33="","",iferror(max(min(TTM!C33,1),-0.3),""))</f>
        <v>0.009176700897</v>
      </c>
      <c r="D33" s="14">
        <f>if(TTM!D33="","",iferror(max(min(TTM!D33,1),-0.3),""))</f>
        <v>-0.0190340326</v>
      </c>
      <c r="E33" s="14">
        <f>if(TTM!E33="","",iferror(max(min(TTM!E33,1),-0.3),""))</f>
        <v>0.8644145903</v>
      </c>
      <c r="F33" s="14" t="str">
        <f>if(TTM!F33="","",iferror(max(min(TTM!F33,1),-0.3),""))</f>
        <v/>
      </c>
      <c r="G33" s="14" t="str">
        <f>if(TTM!G33="","",iferror(max(min(TTM!G33,1),-0.3),""))</f>
        <v/>
      </c>
      <c r="H33" s="14" t="str">
        <f>if(TTM!H33="","",iferror(max(min(TTM!H33,1),-0.3),""))</f>
        <v/>
      </c>
      <c r="I33" s="14" t="str">
        <f>if(TTM!I33="","",iferror(max(min(TTM!I33,1),-0.3),""))</f>
        <v/>
      </c>
      <c r="J33" s="14" t="str">
        <f>if(TTM!J33="","",iferror(max(min(TTM!J33,1),-0.3),""))</f>
        <v/>
      </c>
      <c r="K33" s="14" t="str">
        <f>if(TTM!K33="","",iferror(max(min(TTM!K33,1),-0.3),""))</f>
        <v/>
      </c>
      <c r="L33" s="14" t="str">
        <f>if(TTM!L33="","",iferror(max(min(TTM!L33,1),-0.3),""))</f>
        <v/>
      </c>
      <c r="M33" s="14" t="str">
        <f>if(TTM!M33="","",iferror(max(min(TTM!M33,1),-0.3),""))</f>
        <v/>
      </c>
      <c r="N33" s="14" t="str">
        <f>if(TTM!N33="","",iferror(max(min(TTM!N33,1),-0.3),""))</f>
        <v/>
      </c>
      <c r="O33" s="14">
        <f>if(TTM!O33="","",iferror(max(min(TTM!O33,1),-0.3),""))</f>
        <v>0.8109421482</v>
      </c>
      <c r="P33" s="14" t="str">
        <f>if(TTM!P33="","",iferror(max(min(TTM!P33,1),-0.3),""))</f>
        <v/>
      </c>
      <c r="Q33" s="14" t="str">
        <f>if(TTM!Q33="","",iferror(max(min(TTM!Q33,1),-0.3),""))</f>
        <v/>
      </c>
      <c r="R33" s="14"/>
      <c r="S33" s="14">
        <f>if(TTM!S33="","",iferror(max(min(TTM!S33,1),-0.3),""))</f>
        <v>1</v>
      </c>
      <c r="T33" s="14" t="str">
        <f>if(TTM!T33="","",iferror(max(min(TTM!T33,1),-0.3),""))</f>
        <v/>
      </c>
      <c r="U33" s="14" t="str">
        <f>if(TTM!U33="","",iferror(max(min(TTM!U33,1),-0.3),""))</f>
        <v/>
      </c>
      <c r="V33" s="14">
        <f>if(TTM!V33="","",iferror(max(min(TTM!V33,1),-0.3),""))</f>
        <v>0.1011804396</v>
      </c>
      <c r="W33" s="14" t="str">
        <f>if(TTM!W33="","",iferror(max(min(TTM!W33,1),-0.3),""))</f>
        <v/>
      </c>
      <c r="X33" s="14">
        <f>if(TTM!X33="","",iferror(max(min(TTM!X33,1),-0.3),""))</f>
        <v>0.3006652891</v>
      </c>
      <c r="Y33" s="14" t="str">
        <f>if(TTM!Y33="","",iferror(max(min(TTM!Y33,1),-0.3),""))</f>
        <v/>
      </c>
      <c r="Z33" s="14" t="str">
        <f>if(TTM!Z33="","",iferror(max(min(TTM!Z33,1),-0.3),""))</f>
        <v/>
      </c>
      <c r="AA33" s="14" t="str">
        <f>if(TTM!AA33="","",iferror(max(min(TTM!AA33,1),-0.3),""))</f>
        <v/>
      </c>
      <c r="AB33" s="14" t="str">
        <f>if(TTM!AB33="","",iferror(max(min(TTM!AB33,1),-0.3),""))</f>
        <v/>
      </c>
      <c r="AC33" s="14" t="str">
        <f>if(TTM!AC33="","",iferror(max(min(TTM!AC33,1),-0.3),""))</f>
        <v/>
      </c>
      <c r="AD33" s="12"/>
    </row>
    <row r="34">
      <c r="A34" s="15" t="s">
        <v>61</v>
      </c>
      <c r="B34" s="14" t="str">
        <f>if(TTM!B34="","",iferror(max(min(TTM!B34,1),-0.3),""))</f>
        <v/>
      </c>
      <c r="C34" s="14">
        <f>if(TTM!C34="","",iferror(max(min(TTM!C34,1),-0.3),""))</f>
        <v>0.05871632504</v>
      </c>
      <c r="D34" s="14">
        <f>if(TTM!D34="","",iferror(max(min(TTM!D34,1),-0.3),""))</f>
        <v>-0.2123246601</v>
      </c>
      <c r="E34" s="14">
        <f>if(TTM!E34="","",iferror(max(min(TTM!E34,1),-0.3),""))</f>
        <v>0.8979800325</v>
      </c>
      <c r="F34" s="14" t="str">
        <f>if(TTM!F34="","",iferror(max(min(TTM!F34,1),-0.3),""))</f>
        <v/>
      </c>
      <c r="G34" s="14" t="str">
        <f>if(TTM!G34="","",iferror(max(min(TTM!G34,1),-0.3),""))</f>
        <v/>
      </c>
      <c r="H34" s="14" t="str">
        <f>if(TTM!H34="","",iferror(max(min(TTM!H34,1),-0.3),""))</f>
        <v/>
      </c>
      <c r="I34" s="14" t="str">
        <f>if(TTM!I34="","",iferror(max(min(TTM!I34,1),-0.3),""))</f>
        <v/>
      </c>
      <c r="J34" s="14" t="str">
        <f>if(TTM!J34="","",iferror(max(min(TTM!J34,1),-0.3),""))</f>
        <v/>
      </c>
      <c r="K34" s="14" t="str">
        <f>if(TTM!K34="","",iferror(max(min(TTM!K34,1),-0.3),""))</f>
        <v/>
      </c>
      <c r="L34" s="14" t="str">
        <f>if(TTM!L34="","",iferror(max(min(TTM!L34,1),-0.3),""))</f>
        <v/>
      </c>
      <c r="M34" s="14" t="str">
        <f>if(TTM!M34="","",iferror(max(min(TTM!M34,1),-0.3),""))</f>
        <v/>
      </c>
      <c r="N34" s="14" t="str">
        <f>if(TTM!N34="","",iferror(max(min(TTM!N34,1),-0.3),""))</f>
        <v/>
      </c>
      <c r="O34" s="14">
        <f>if(TTM!O34="","",iferror(max(min(TTM!O34,1),-0.3),""))</f>
        <v>1</v>
      </c>
      <c r="P34" s="14" t="str">
        <f>if(TTM!P34="","",iferror(max(min(TTM!P34,1),-0.3),""))</f>
        <v/>
      </c>
      <c r="Q34" s="14" t="str">
        <f>if(TTM!Q34="","",iferror(max(min(TTM!Q34,1),-0.3),""))</f>
        <v/>
      </c>
      <c r="R34" s="14"/>
      <c r="S34" s="14" t="str">
        <f>if(TTM!S34="","",iferror(max(min(TTM!S34,1),-0.3),""))</f>
        <v/>
      </c>
      <c r="T34" s="14" t="str">
        <f>if(TTM!T34="","",iferror(max(min(TTM!T34,1),-0.3),""))</f>
        <v/>
      </c>
      <c r="U34" s="14" t="str">
        <f>if(TTM!U34="","",iferror(max(min(TTM!U34,1),-0.3),""))</f>
        <v/>
      </c>
      <c r="V34" s="14">
        <f>if(TTM!V34="","",iferror(max(min(TTM!V34,1),-0.3),""))</f>
        <v>0.008931524975</v>
      </c>
      <c r="W34" s="14" t="str">
        <f>if(TTM!W34="","",iferror(max(min(TTM!W34,1),-0.3),""))</f>
        <v/>
      </c>
      <c r="X34" s="14">
        <f>if(TTM!X34="","",iferror(max(min(TTM!X34,1),-0.3),""))</f>
        <v>0.2825010617</v>
      </c>
      <c r="Y34" s="14" t="str">
        <f>if(TTM!Y34="","",iferror(max(min(TTM!Y34,1),-0.3),""))</f>
        <v/>
      </c>
      <c r="Z34" s="14" t="str">
        <f>if(TTM!Z34="","",iferror(max(min(TTM!Z34,1),-0.3),""))</f>
        <v/>
      </c>
      <c r="AA34" s="14" t="str">
        <f>if(TTM!AA34="","",iferror(max(min(TTM!AA34,1),-0.3),""))</f>
        <v/>
      </c>
      <c r="AB34" s="14" t="str">
        <f>if(TTM!AB34="","",iferror(max(min(TTM!AB34,1),-0.3),""))</f>
        <v/>
      </c>
      <c r="AC34" s="14" t="str">
        <f>if(TTM!AC34="","",iferror(max(min(TTM!AC34,1),-0.3),""))</f>
        <v/>
      </c>
      <c r="AD34" s="12"/>
    </row>
    <row r="35">
      <c r="A35" s="15" t="s">
        <v>62</v>
      </c>
      <c r="B35" s="14" t="str">
        <f>if(TTM!B35="","",iferror(max(min(TTM!B35,1),-0.3),""))</f>
        <v/>
      </c>
      <c r="C35" s="14">
        <f>if(TTM!C35="","",iferror(max(min(TTM!C35,1),-0.3),""))</f>
        <v>0.05723974779</v>
      </c>
      <c r="D35" s="14">
        <f>if(TTM!D35="","",iferror(max(min(TTM!D35,1),-0.3),""))</f>
        <v>-0.1217448448</v>
      </c>
      <c r="E35" s="14">
        <f>if(TTM!E35="","",iferror(max(min(TTM!E35,1),-0.3),""))</f>
        <v>0.8359088739</v>
      </c>
      <c r="F35" s="14" t="str">
        <f>if(TTM!F35="","",iferror(max(min(TTM!F35,1),-0.3),""))</f>
        <v/>
      </c>
      <c r="G35" s="14" t="str">
        <f>if(TTM!G35="","",iferror(max(min(TTM!G35,1),-0.3),""))</f>
        <v/>
      </c>
      <c r="H35" s="14" t="str">
        <f>if(TTM!H35="","",iferror(max(min(TTM!H35,1),-0.3),""))</f>
        <v/>
      </c>
      <c r="I35" s="14" t="str">
        <f>if(TTM!I35="","",iferror(max(min(TTM!I35,1),-0.3),""))</f>
        <v/>
      </c>
      <c r="J35" s="14" t="str">
        <f>if(TTM!J35="","",iferror(max(min(TTM!J35,1),-0.3),""))</f>
        <v/>
      </c>
      <c r="K35" s="14" t="str">
        <f>if(TTM!K35="","",iferror(max(min(TTM!K35,1),-0.3),""))</f>
        <v/>
      </c>
      <c r="L35" s="14" t="str">
        <f>if(TTM!L35="","",iferror(max(min(TTM!L35,1),-0.3),""))</f>
        <v/>
      </c>
      <c r="M35" s="14" t="str">
        <f>if(TTM!M35="","",iferror(max(min(TTM!M35,1),-0.3),""))</f>
        <v/>
      </c>
      <c r="N35" s="14" t="str">
        <f>if(TTM!N35="","",iferror(max(min(TTM!N35,1),-0.3),""))</f>
        <v/>
      </c>
      <c r="O35" s="14">
        <f>if(TTM!O35="","",iferror(max(min(TTM!O35,1),-0.3),""))</f>
        <v>1</v>
      </c>
      <c r="P35" s="14" t="str">
        <f>if(TTM!P35="","",iferror(max(min(TTM!P35,1),-0.3),""))</f>
        <v/>
      </c>
      <c r="Q35" s="14" t="str">
        <f>if(TTM!Q35="","",iferror(max(min(TTM!Q35,1),-0.3),""))</f>
        <v/>
      </c>
      <c r="R35" s="14"/>
      <c r="S35" s="14" t="str">
        <f>if(TTM!S35="","",iferror(max(min(TTM!S35,1),-0.3),""))</f>
        <v/>
      </c>
      <c r="T35" s="14" t="str">
        <f>if(TTM!T35="","",iferror(max(min(TTM!T35,1),-0.3),""))</f>
        <v/>
      </c>
      <c r="U35" s="14" t="str">
        <f>if(TTM!U35="","",iferror(max(min(TTM!U35,1),-0.3),""))</f>
        <v/>
      </c>
      <c r="V35" s="14">
        <f>if(TTM!V35="","",iferror(max(min(TTM!V35,1),-0.3),""))</f>
        <v>0.008931524975</v>
      </c>
      <c r="W35" s="14" t="str">
        <f>if(TTM!W35="","",iferror(max(min(TTM!W35,1),-0.3),""))</f>
        <v/>
      </c>
      <c r="X35" s="14">
        <f>if(TTM!X35="","",iferror(max(min(TTM!X35,1),-0.3),""))</f>
        <v>0.2643368343</v>
      </c>
      <c r="Y35" s="14" t="str">
        <f>if(TTM!Y35="","",iferror(max(min(TTM!Y35,1),-0.3),""))</f>
        <v/>
      </c>
      <c r="Z35" s="14" t="str">
        <f>if(TTM!Z35="","",iferror(max(min(TTM!Z35,1),-0.3),""))</f>
        <v/>
      </c>
      <c r="AA35" s="14" t="str">
        <f>if(TTM!AA35="","",iferror(max(min(TTM!AA35,1),-0.3),""))</f>
        <v/>
      </c>
      <c r="AB35" s="14" t="str">
        <f>if(TTM!AB35="","",iferror(max(min(TTM!AB35,1),-0.3),""))</f>
        <v/>
      </c>
      <c r="AC35" s="14" t="str">
        <f>if(TTM!AC35="","",iferror(max(min(TTM!AC35,1),-0.3),""))</f>
        <v/>
      </c>
      <c r="AD35" s="12"/>
    </row>
    <row r="36">
      <c r="A36" s="15" t="s">
        <v>63</v>
      </c>
      <c r="B36" s="14" t="str">
        <f>if(TTM!B36="","",iferror(max(min(TTM!B36,1),-0.3),""))</f>
        <v/>
      </c>
      <c r="C36" s="14">
        <f>if(TTM!C36="","",iferror(max(min(TTM!C36,1),-0.3),""))</f>
        <v>0.05576317055</v>
      </c>
      <c r="D36" s="14">
        <f>if(TTM!D36="","",iferror(max(min(TTM!D36,1),-0.3),""))</f>
        <v>-0.03116502945</v>
      </c>
      <c r="E36" s="14">
        <f>if(TTM!E36="","",iferror(max(min(TTM!E36,1),-0.3),""))</f>
        <v>0.7738377152</v>
      </c>
      <c r="F36" s="14" t="str">
        <f>if(TTM!F36="","",iferror(max(min(TTM!F36,1),-0.3),""))</f>
        <v/>
      </c>
      <c r="G36" s="14" t="str">
        <f>if(TTM!G36="","",iferror(max(min(TTM!G36,1),-0.3),""))</f>
        <v/>
      </c>
      <c r="H36" s="14" t="str">
        <f>if(TTM!H36="","",iferror(max(min(TTM!H36,1),-0.3),""))</f>
        <v/>
      </c>
      <c r="I36" s="14" t="str">
        <f>if(TTM!I36="","",iferror(max(min(TTM!I36,1),-0.3),""))</f>
        <v/>
      </c>
      <c r="J36" s="14" t="str">
        <f>if(TTM!J36="","",iferror(max(min(TTM!J36,1),-0.3),""))</f>
        <v/>
      </c>
      <c r="K36" s="14" t="str">
        <f>if(TTM!K36="","",iferror(max(min(TTM!K36,1),-0.3),""))</f>
        <v/>
      </c>
      <c r="L36" s="14" t="str">
        <f>if(TTM!L36="","",iferror(max(min(TTM!L36,1),-0.3),""))</f>
        <v/>
      </c>
      <c r="M36" s="14" t="str">
        <f>if(TTM!M36="","",iferror(max(min(TTM!M36,1),-0.3),""))</f>
        <v/>
      </c>
      <c r="N36" s="14" t="str">
        <f>if(TTM!N36="","",iferror(max(min(TTM!N36,1),-0.3),""))</f>
        <v/>
      </c>
      <c r="O36" s="14">
        <f>if(TTM!O36="","",iferror(max(min(TTM!O36,1),-0.3),""))</f>
        <v>1</v>
      </c>
      <c r="P36" s="14" t="str">
        <f>if(TTM!P36="","",iferror(max(min(TTM!P36,1),-0.3),""))</f>
        <v/>
      </c>
      <c r="Q36" s="14" t="str">
        <f>if(TTM!Q36="","",iferror(max(min(TTM!Q36,1),-0.3),""))</f>
        <v/>
      </c>
      <c r="R36" s="14"/>
      <c r="S36" s="14" t="str">
        <f>if(TTM!S36="","",iferror(max(min(TTM!S36,1),-0.3),""))</f>
        <v/>
      </c>
      <c r="T36" s="14" t="str">
        <f>if(TTM!T36="","",iferror(max(min(TTM!T36,1),-0.3),""))</f>
        <v/>
      </c>
      <c r="U36" s="14" t="str">
        <f>if(TTM!U36="","",iferror(max(min(TTM!U36,1),-0.3),""))</f>
        <v/>
      </c>
      <c r="V36" s="14">
        <f>if(TTM!V36="","",iferror(max(min(TTM!V36,1),-0.3),""))</f>
        <v>0.008931524975</v>
      </c>
      <c r="W36" s="14" t="str">
        <f>if(TTM!W36="","",iferror(max(min(TTM!W36,1),-0.3),""))</f>
        <v/>
      </c>
      <c r="X36" s="14">
        <f>if(TTM!X36="","",iferror(max(min(TTM!X36,1),-0.3),""))</f>
        <v>0.2461726069</v>
      </c>
      <c r="Y36" s="14" t="str">
        <f>if(TTM!Y36="","",iferror(max(min(TTM!Y36,1),-0.3),""))</f>
        <v/>
      </c>
      <c r="Z36" s="14" t="str">
        <f>if(TTM!Z36="","",iferror(max(min(TTM!Z36,1),-0.3),""))</f>
        <v/>
      </c>
      <c r="AA36" s="14" t="str">
        <f>if(TTM!AA36="","",iferror(max(min(TTM!AA36,1),-0.3),""))</f>
        <v/>
      </c>
      <c r="AB36" s="14" t="str">
        <f>if(TTM!AB36="","",iferror(max(min(TTM!AB36,1),-0.3),""))</f>
        <v/>
      </c>
      <c r="AC36" s="14" t="str">
        <f>if(TTM!AC36="","",iferror(max(min(TTM!AC36,1),-0.3),""))</f>
        <v/>
      </c>
      <c r="AD36" s="12"/>
    </row>
    <row r="37">
      <c r="A37" s="15" t="s">
        <v>64</v>
      </c>
      <c r="B37" s="14" t="str">
        <f>if(TTM!B37="","",iferror(max(min(TTM!B37,1),-0.3),""))</f>
        <v/>
      </c>
      <c r="C37" s="14">
        <f>if(TTM!C37="","",iferror(max(min(TTM!C37,1),-0.3),""))</f>
        <v>0.0542865933</v>
      </c>
      <c r="D37" s="14">
        <f>if(TTM!D37="","",iferror(max(min(TTM!D37,1),-0.3),""))</f>
        <v>0.05941478589</v>
      </c>
      <c r="E37" s="14">
        <f>if(TTM!E37="","",iferror(max(min(TTM!E37,1),-0.3),""))</f>
        <v>0.7117665566</v>
      </c>
      <c r="F37" s="14" t="str">
        <f>if(TTM!F37="","",iferror(max(min(TTM!F37,1),-0.3),""))</f>
        <v/>
      </c>
      <c r="G37" s="14" t="str">
        <f>if(TTM!G37="","",iferror(max(min(TTM!G37,1),-0.3),""))</f>
        <v/>
      </c>
      <c r="H37" s="14" t="str">
        <f>if(TTM!H37="","",iferror(max(min(TTM!H37,1),-0.3),""))</f>
        <v/>
      </c>
      <c r="I37" s="14" t="str">
        <f>if(TTM!I37="","",iferror(max(min(TTM!I37,1),-0.3),""))</f>
        <v/>
      </c>
      <c r="J37" s="14" t="str">
        <f>if(TTM!J37="","",iferror(max(min(TTM!J37,1),-0.3),""))</f>
        <v/>
      </c>
      <c r="K37" s="14" t="str">
        <f>if(TTM!K37="","",iferror(max(min(TTM!K37,1),-0.3),""))</f>
        <v/>
      </c>
      <c r="L37" s="14" t="str">
        <f>if(TTM!L37="","",iferror(max(min(TTM!L37,1),-0.3),""))</f>
        <v/>
      </c>
      <c r="M37" s="14" t="str">
        <f>if(TTM!M37="","",iferror(max(min(TTM!M37,1),-0.3),""))</f>
        <v/>
      </c>
      <c r="N37" s="14" t="str">
        <f>if(TTM!N37="","",iferror(max(min(TTM!N37,1),-0.3),""))</f>
        <v/>
      </c>
      <c r="O37" s="14">
        <f>if(TTM!O37="","",iferror(max(min(TTM!O37,1),-0.3),""))</f>
        <v>1</v>
      </c>
      <c r="P37" s="14" t="str">
        <f>if(TTM!P37="","",iferror(max(min(TTM!P37,1),-0.3),""))</f>
        <v/>
      </c>
      <c r="Q37" s="14" t="str">
        <f>if(TTM!Q37="","",iferror(max(min(TTM!Q37,1),-0.3),""))</f>
        <v/>
      </c>
      <c r="R37" s="14"/>
      <c r="S37" s="14" t="str">
        <f>if(TTM!S37="","",iferror(max(min(TTM!S37,1),-0.3),""))</f>
        <v/>
      </c>
      <c r="T37" s="14" t="str">
        <f>if(TTM!T37="","",iferror(max(min(TTM!T37,1),-0.3),""))</f>
        <v/>
      </c>
      <c r="U37" s="14" t="str">
        <f>if(TTM!U37="","",iferror(max(min(TTM!U37,1),-0.3),""))</f>
        <v/>
      </c>
      <c r="V37" s="14" t="str">
        <f>if(TTM!V37="","",iferror(max(min(TTM!V37,1),-0.3),""))</f>
        <v/>
      </c>
      <c r="W37" s="14" t="str">
        <f>if(TTM!W37="","",iferror(max(min(TTM!W37,1),-0.3),""))</f>
        <v/>
      </c>
      <c r="X37" s="14">
        <f>if(TTM!X37="","",iferror(max(min(TTM!X37,1),-0.3),""))</f>
        <v>0.2069294906</v>
      </c>
      <c r="Y37" s="14" t="str">
        <f>if(TTM!Y37="","",iferror(max(min(TTM!Y37,1),-0.3),""))</f>
        <v/>
      </c>
      <c r="Z37" s="14" t="str">
        <f>if(TTM!Z37="","",iferror(max(min(TTM!Z37,1),-0.3),""))</f>
        <v/>
      </c>
      <c r="AA37" s="14" t="str">
        <f>if(TTM!AA37="","",iferror(max(min(TTM!AA37,1),-0.3),""))</f>
        <v/>
      </c>
      <c r="AB37" s="14" t="str">
        <f>if(TTM!AB37="","",iferror(max(min(TTM!AB37,1),-0.3),""))</f>
        <v/>
      </c>
      <c r="AC37" s="14" t="str">
        <f>if(TTM!AC37="","",iferror(max(min(TTM!AC37,1),-0.3),""))</f>
        <v/>
      </c>
      <c r="AD37" s="12"/>
    </row>
    <row r="38">
      <c r="A38" s="15" t="s">
        <v>65</v>
      </c>
      <c r="B38" s="14" t="str">
        <f>if(TTM!B38="","",iferror(max(min(TTM!B38,1),-0.3),""))</f>
        <v/>
      </c>
      <c r="C38" s="14">
        <f>if(TTM!C38="","",iferror(max(min(TTM!C38,1),-0.3),""))</f>
        <v>0.05281001605</v>
      </c>
      <c r="D38" s="14">
        <f>if(TTM!D38="","",iferror(max(min(TTM!D38,1),-0.3),""))</f>
        <v>0.1499946012</v>
      </c>
      <c r="E38" s="14">
        <f>if(TTM!E38="","",iferror(max(min(TTM!E38,1),-0.3),""))</f>
        <v>0.6496953979</v>
      </c>
      <c r="F38" s="14" t="str">
        <f>if(TTM!F38="","",iferror(max(min(TTM!F38,1),-0.3),""))</f>
        <v/>
      </c>
      <c r="G38" s="14" t="str">
        <f>if(TTM!G38="","",iferror(max(min(TTM!G38,1),-0.3),""))</f>
        <v/>
      </c>
      <c r="H38" s="14" t="str">
        <f>if(TTM!H38="","",iferror(max(min(TTM!H38,1),-0.3),""))</f>
        <v/>
      </c>
      <c r="I38" s="14" t="str">
        <f>if(TTM!I38="","",iferror(max(min(TTM!I38,1),-0.3),""))</f>
        <v/>
      </c>
      <c r="J38" s="14" t="str">
        <f>if(TTM!J38="","",iferror(max(min(TTM!J38,1),-0.3),""))</f>
        <v/>
      </c>
      <c r="K38" s="14" t="str">
        <f>if(TTM!K38="","",iferror(max(min(TTM!K38,1),-0.3),""))</f>
        <v/>
      </c>
      <c r="L38" s="14" t="str">
        <f>if(TTM!L38="","",iferror(max(min(TTM!L38,1),-0.3),""))</f>
        <v/>
      </c>
      <c r="M38" s="14" t="str">
        <f>if(TTM!M38="","",iferror(max(min(TTM!M38,1),-0.3),""))</f>
        <v/>
      </c>
      <c r="N38" s="14" t="str">
        <f>if(TTM!N38="","",iferror(max(min(TTM!N38,1),-0.3),""))</f>
        <v/>
      </c>
      <c r="O38" s="14">
        <f>if(TTM!O38="","",iferror(max(min(TTM!O38,1),-0.3),""))</f>
        <v>1</v>
      </c>
      <c r="P38" s="14" t="str">
        <f>if(TTM!P38="","",iferror(max(min(TTM!P38,1),-0.3),""))</f>
        <v/>
      </c>
      <c r="Q38" s="14" t="str">
        <f>if(TTM!Q38="","",iferror(max(min(TTM!Q38,1),-0.3),""))</f>
        <v/>
      </c>
      <c r="R38" s="14"/>
      <c r="S38" s="14" t="str">
        <f>if(TTM!S38="","",iferror(max(min(TTM!S38,1),-0.3),""))</f>
        <v/>
      </c>
      <c r="T38" s="14" t="str">
        <f>if(TTM!T38="","",iferror(max(min(TTM!T38,1),-0.3),""))</f>
        <v/>
      </c>
      <c r="U38" s="14" t="str">
        <f>if(TTM!U38="","",iferror(max(min(TTM!U38,1),-0.3),""))</f>
        <v/>
      </c>
      <c r="V38" s="14" t="str">
        <f>if(TTM!V38="","",iferror(max(min(TTM!V38,1),-0.3),""))</f>
        <v/>
      </c>
      <c r="W38" s="14" t="str">
        <f>if(TTM!W38="","",iferror(max(min(TTM!W38,1),-0.3),""))</f>
        <v/>
      </c>
      <c r="X38" s="14">
        <f>if(TTM!X38="","",iferror(max(min(TTM!X38,1),-0.3),""))</f>
        <v>0.1676863744</v>
      </c>
      <c r="Y38" s="14" t="str">
        <f>if(TTM!Y38="","",iferror(max(min(TTM!Y38,1),-0.3),""))</f>
        <v/>
      </c>
      <c r="Z38" s="14" t="str">
        <f>if(TTM!Z38="","",iferror(max(min(TTM!Z38,1),-0.3),""))</f>
        <v/>
      </c>
      <c r="AA38" s="14" t="str">
        <f>if(TTM!AA38="","",iferror(max(min(TTM!AA38,1),-0.3),""))</f>
        <v/>
      </c>
      <c r="AB38" s="14" t="str">
        <f>if(TTM!AB38="","",iferror(max(min(TTM!AB38,1),-0.3),""))</f>
        <v/>
      </c>
      <c r="AC38" s="14" t="str">
        <f>if(TTM!AC38="","",iferror(max(min(TTM!AC38,1),-0.3),""))</f>
        <v/>
      </c>
      <c r="AD38" s="12"/>
    </row>
    <row r="39">
      <c r="A39" s="15" t="s">
        <v>66</v>
      </c>
      <c r="B39" s="14" t="str">
        <f>if(TTM!B39="","",iferror(max(min(TTM!B39,1),-0.3),""))</f>
        <v/>
      </c>
      <c r="C39" s="14">
        <f>if(TTM!C39="","",iferror(max(min(TTM!C39,1),-0.3),""))</f>
        <v>0.08127409214</v>
      </c>
      <c r="D39" s="14">
        <f>if(TTM!D39="","",iferror(max(min(TTM!D39,1),-0.3),""))</f>
        <v>0.1264300755</v>
      </c>
      <c r="E39" s="14">
        <f>if(TTM!E39="","",iferror(max(min(TTM!E39,1),-0.3),""))</f>
        <v>0.6129129734</v>
      </c>
      <c r="F39" s="14" t="str">
        <f>if(TTM!F39="","",iferror(max(min(TTM!F39,1),-0.3),""))</f>
        <v/>
      </c>
      <c r="G39" s="14" t="str">
        <f>if(TTM!G39="","",iferror(max(min(TTM!G39,1),-0.3),""))</f>
        <v/>
      </c>
      <c r="H39" s="14" t="str">
        <f>if(TTM!H39="","",iferror(max(min(TTM!H39,1),-0.3),""))</f>
        <v/>
      </c>
      <c r="I39" s="14" t="str">
        <f>if(TTM!I39="","",iferror(max(min(TTM!I39,1),-0.3),""))</f>
        <v/>
      </c>
      <c r="J39" s="14" t="str">
        <f>if(TTM!J39="","",iferror(max(min(TTM!J39,1),-0.3),""))</f>
        <v/>
      </c>
      <c r="K39" s="14" t="str">
        <f>if(TTM!K39="","",iferror(max(min(TTM!K39,1),-0.3),""))</f>
        <v/>
      </c>
      <c r="L39" s="14" t="str">
        <f>if(TTM!L39="","",iferror(max(min(TTM!L39,1),-0.3),""))</f>
        <v/>
      </c>
      <c r="M39" s="14" t="str">
        <f>if(TTM!M39="","",iferror(max(min(TTM!M39,1),-0.3),""))</f>
        <v/>
      </c>
      <c r="N39" s="14" t="str">
        <f>if(TTM!N39="","",iferror(max(min(TTM!N39,1),-0.3),""))</f>
        <v/>
      </c>
      <c r="O39" s="14">
        <f>if(TTM!O39="","",iferror(max(min(TTM!O39,1),-0.3),""))</f>
        <v>1</v>
      </c>
      <c r="P39" s="14" t="str">
        <f>if(TTM!P39="","",iferror(max(min(TTM!P39,1),-0.3),""))</f>
        <v/>
      </c>
      <c r="Q39" s="14" t="str">
        <f>if(TTM!Q39="","",iferror(max(min(TTM!Q39,1),-0.3),""))</f>
        <v/>
      </c>
      <c r="R39" s="14"/>
      <c r="S39" s="14" t="str">
        <f>if(TTM!S39="","",iferror(max(min(TTM!S39,1),-0.3),""))</f>
        <v/>
      </c>
      <c r="T39" s="14" t="str">
        <f>if(TTM!T39="","",iferror(max(min(TTM!T39,1),-0.3),""))</f>
        <v/>
      </c>
      <c r="U39" s="14" t="str">
        <f>if(TTM!U39="","",iferror(max(min(TTM!U39,1),-0.3),""))</f>
        <v/>
      </c>
      <c r="V39" s="14" t="str">
        <f>if(TTM!V39="","",iferror(max(min(TTM!V39,1),-0.3),""))</f>
        <v/>
      </c>
      <c r="W39" s="14" t="str">
        <f>if(TTM!W39="","",iferror(max(min(TTM!W39,1),-0.3),""))</f>
        <v/>
      </c>
      <c r="X39" s="14">
        <f>if(TTM!X39="","",iferror(max(min(TTM!X39,1),-0.3),""))</f>
        <v>0.1284432581</v>
      </c>
      <c r="Y39" s="14" t="str">
        <f>if(TTM!Y39="","",iferror(max(min(TTM!Y39,1),-0.3),""))</f>
        <v/>
      </c>
      <c r="Z39" s="14" t="str">
        <f>if(TTM!Z39="","",iferror(max(min(TTM!Z39,1),-0.3),""))</f>
        <v/>
      </c>
      <c r="AA39" s="14" t="str">
        <f>if(TTM!AA39="","",iferror(max(min(TTM!AA39,1),-0.3),""))</f>
        <v/>
      </c>
      <c r="AB39" s="14" t="str">
        <f>if(TTM!AB39="","",iferror(max(min(TTM!AB39,1),-0.3),""))</f>
        <v/>
      </c>
      <c r="AC39" s="14" t="str">
        <f>if(TTM!AC39="","",iferror(max(min(TTM!AC39,1),-0.3),""))</f>
        <v/>
      </c>
      <c r="AD39" s="12"/>
    </row>
    <row r="40">
      <c r="A40" s="15" t="s">
        <v>67</v>
      </c>
      <c r="B40" s="14" t="str">
        <f>if(TTM!B40="","",iferror(max(min(TTM!B40,1),-0.3),""))</f>
        <v/>
      </c>
      <c r="C40" s="14">
        <f>if(TTM!C40="","",iferror(max(min(TTM!C40,1),-0.3),""))</f>
        <v>0.1097381682</v>
      </c>
      <c r="D40" s="14">
        <f>if(TTM!D40="","",iferror(max(min(TTM!D40,1),-0.3),""))</f>
        <v>0.1028655498</v>
      </c>
      <c r="E40" s="14">
        <f>if(TTM!E40="","",iferror(max(min(TTM!E40,1),-0.3),""))</f>
        <v>0.5761305488</v>
      </c>
      <c r="F40" s="14" t="str">
        <f>if(TTM!F40="","",iferror(max(min(TTM!F40,1),-0.3),""))</f>
        <v/>
      </c>
      <c r="G40" s="14" t="str">
        <f>if(TTM!G40="","",iferror(max(min(TTM!G40,1),-0.3),""))</f>
        <v/>
      </c>
      <c r="H40" s="14" t="str">
        <f>if(TTM!H40="","",iferror(max(min(TTM!H40,1),-0.3),""))</f>
        <v/>
      </c>
      <c r="I40" s="14" t="str">
        <f>if(TTM!I40="","",iferror(max(min(TTM!I40,1),-0.3),""))</f>
        <v/>
      </c>
      <c r="J40" s="14" t="str">
        <f>if(TTM!J40="","",iferror(max(min(TTM!J40,1),-0.3),""))</f>
        <v/>
      </c>
      <c r="K40" s="14" t="str">
        <f>if(TTM!K40="","",iferror(max(min(TTM!K40,1),-0.3),""))</f>
        <v/>
      </c>
      <c r="L40" s="14" t="str">
        <f>if(TTM!L40="","",iferror(max(min(TTM!L40,1),-0.3),""))</f>
        <v/>
      </c>
      <c r="M40" s="14" t="str">
        <f>if(TTM!M40="","",iferror(max(min(TTM!M40,1),-0.3),""))</f>
        <v/>
      </c>
      <c r="N40" s="14" t="str">
        <f>if(TTM!N40="","",iferror(max(min(TTM!N40,1),-0.3),""))</f>
        <v/>
      </c>
      <c r="O40" s="14">
        <f>if(TTM!O40="","",iferror(max(min(TTM!O40,1),-0.3),""))</f>
        <v>1</v>
      </c>
      <c r="P40" s="14" t="str">
        <f>if(TTM!P40="","",iferror(max(min(TTM!P40,1),-0.3),""))</f>
        <v/>
      </c>
      <c r="Q40" s="14" t="str">
        <f>if(TTM!Q40="","",iferror(max(min(TTM!Q40,1),-0.3),""))</f>
        <v/>
      </c>
      <c r="R40" s="14"/>
      <c r="S40" s="14" t="str">
        <f>if(TTM!S40="","",iferror(max(min(TTM!S40,1),-0.3),""))</f>
        <v/>
      </c>
      <c r="T40" s="14" t="str">
        <f>if(TTM!T40="","",iferror(max(min(TTM!T40,1),-0.3),""))</f>
        <v/>
      </c>
      <c r="U40" s="14" t="str">
        <f>if(TTM!U40="","",iferror(max(min(TTM!U40,1),-0.3),""))</f>
        <v/>
      </c>
      <c r="V40" s="14" t="str">
        <f>if(TTM!V40="","",iferror(max(min(TTM!V40,1),-0.3),""))</f>
        <v/>
      </c>
      <c r="W40" s="14" t="str">
        <f>if(TTM!W40="","",iferror(max(min(TTM!W40,1),-0.3),""))</f>
        <v/>
      </c>
      <c r="X40" s="14">
        <f>if(TTM!X40="","",iferror(max(min(TTM!X40,1),-0.3),""))</f>
        <v>0.0892001419</v>
      </c>
      <c r="Y40" s="14" t="str">
        <f>if(TTM!Y40="","",iferror(max(min(TTM!Y40,1),-0.3),""))</f>
        <v/>
      </c>
      <c r="Z40" s="14" t="str">
        <f>if(TTM!Z40="","",iferror(max(min(TTM!Z40,1),-0.3),""))</f>
        <v/>
      </c>
      <c r="AA40" s="14" t="str">
        <f>if(TTM!AA40="","",iferror(max(min(TTM!AA40,1),-0.3),""))</f>
        <v/>
      </c>
      <c r="AB40" s="14" t="str">
        <f>if(TTM!AB40="","",iferror(max(min(TTM!AB40,1),-0.3),""))</f>
        <v/>
      </c>
      <c r="AC40" s="14" t="str">
        <f>if(TTM!AC40="","",iferror(max(min(TTM!AC40,1),-0.3),""))</f>
        <v/>
      </c>
      <c r="AD40" s="12"/>
    </row>
    <row r="41">
      <c r="A41" s="15" t="s">
        <v>68</v>
      </c>
      <c r="B41" s="14" t="str">
        <f>if(TTM!B41="","",iferror(max(min(TTM!B41,1),-0.3),""))</f>
        <v/>
      </c>
      <c r="C41" s="14">
        <f>if(TTM!C41="","",iferror(max(min(TTM!C41,1),-0.3),""))</f>
        <v>0.1382022443</v>
      </c>
      <c r="D41" s="14">
        <f>if(TTM!D41="","",iferror(max(min(TTM!D41,1),-0.3),""))</f>
        <v>0.07930102403</v>
      </c>
      <c r="E41" s="14">
        <f>if(TTM!E41="","",iferror(max(min(TTM!E41,1),-0.3),""))</f>
        <v>0.5393481243</v>
      </c>
      <c r="F41" s="14" t="str">
        <f>if(TTM!F41="","",iferror(max(min(TTM!F41,1),-0.3),""))</f>
        <v/>
      </c>
      <c r="G41" s="14" t="str">
        <f>if(TTM!G41="","",iferror(max(min(TTM!G41,1),-0.3),""))</f>
        <v/>
      </c>
      <c r="H41" s="14" t="str">
        <f>if(TTM!H41="","",iferror(max(min(TTM!H41,1),-0.3),""))</f>
        <v/>
      </c>
      <c r="I41" s="14" t="str">
        <f>if(TTM!I41="","",iferror(max(min(TTM!I41,1),-0.3),""))</f>
        <v/>
      </c>
      <c r="J41" s="14" t="str">
        <f>if(TTM!J41="","",iferror(max(min(TTM!J41,1),-0.3),""))</f>
        <v/>
      </c>
      <c r="K41" s="14" t="str">
        <f>if(TTM!K41="","",iferror(max(min(TTM!K41,1),-0.3),""))</f>
        <v/>
      </c>
      <c r="L41" s="14" t="str">
        <f>if(TTM!L41="","",iferror(max(min(TTM!L41,1),-0.3),""))</f>
        <v/>
      </c>
      <c r="M41" s="14" t="str">
        <f>if(TTM!M41="","",iferror(max(min(TTM!M41,1),-0.3),""))</f>
        <v/>
      </c>
      <c r="N41" s="14" t="str">
        <f>if(TTM!N41="","",iferror(max(min(TTM!N41,1),-0.3),""))</f>
        <v/>
      </c>
      <c r="O41" s="14">
        <f>if(TTM!O41="","",iferror(max(min(TTM!O41,1),-0.3),""))</f>
        <v>1</v>
      </c>
      <c r="P41" s="14" t="str">
        <f>if(TTM!P41="","",iferror(max(min(TTM!P41,1),-0.3),""))</f>
        <v/>
      </c>
      <c r="Q41" s="14" t="str">
        <f>if(TTM!Q41="","",iferror(max(min(TTM!Q41,1),-0.3),""))</f>
        <v/>
      </c>
      <c r="R41" s="14"/>
      <c r="S41" s="14" t="str">
        <f>if(TTM!S41="","",iferror(max(min(TTM!S41,1),-0.3),""))</f>
        <v/>
      </c>
      <c r="T41" s="14" t="str">
        <f>if(TTM!T41="","",iferror(max(min(TTM!T41,1),-0.3),""))</f>
        <v/>
      </c>
      <c r="U41" s="14" t="str">
        <f>if(TTM!U41="","",iferror(max(min(TTM!U41,1),-0.3),""))</f>
        <v/>
      </c>
      <c r="V41" s="14" t="str">
        <f>if(TTM!V41="","",iferror(max(min(TTM!V41,1),-0.3),""))</f>
        <v/>
      </c>
      <c r="W41" s="14" t="str">
        <f>if(TTM!W41="","",iferror(max(min(TTM!W41,1),-0.3),""))</f>
        <v/>
      </c>
      <c r="X41" s="14">
        <f>if(TTM!X41="","",iferror(max(min(TTM!X41,1),-0.3),""))</f>
        <v>0.1424414321</v>
      </c>
      <c r="Y41" s="14" t="str">
        <f>if(TTM!Y41="","",iferror(max(min(TTM!Y41,1),-0.3),""))</f>
        <v/>
      </c>
      <c r="Z41" s="14" t="str">
        <f>if(TTM!Z41="","",iferror(max(min(TTM!Z41,1),-0.3),""))</f>
        <v/>
      </c>
      <c r="AA41" s="14" t="str">
        <f>if(TTM!AA41="","",iferror(max(min(TTM!AA41,1),-0.3),""))</f>
        <v/>
      </c>
      <c r="AB41" s="14" t="str">
        <f>if(TTM!AB41="","",iferror(max(min(TTM!AB41,1),-0.3),""))</f>
        <v/>
      </c>
      <c r="AC41" s="14" t="str">
        <f>if(TTM!AC41="","",iferror(max(min(TTM!AC41,1),-0.3),""))</f>
        <v/>
      </c>
      <c r="AD41" s="12"/>
    </row>
    <row r="42">
      <c r="A42" s="15" t="s">
        <v>69</v>
      </c>
      <c r="B42" s="14" t="str">
        <f>if(TTM!B42="","",iferror(max(min(TTM!B42,1),-0.3),""))</f>
        <v/>
      </c>
      <c r="C42" s="14">
        <f>if(TTM!C42="","",iferror(max(min(TTM!C42,1),-0.3),""))</f>
        <v>0.1666663204</v>
      </c>
      <c r="D42" s="14">
        <f>if(TTM!D42="","",iferror(max(min(TTM!D42,1),-0.3),""))</f>
        <v>0.0557364983</v>
      </c>
      <c r="E42" s="14">
        <f>if(TTM!E42="","",iferror(max(min(TTM!E42,1),-0.3),""))</f>
        <v>0.5025656997</v>
      </c>
      <c r="F42" s="14" t="str">
        <f>if(TTM!F42="","",iferror(max(min(TTM!F42,1),-0.3),""))</f>
        <v/>
      </c>
      <c r="G42" s="14" t="str">
        <f>if(TTM!G42="","",iferror(max(min(TTM!G42,1),-0.3),""))</f>
        <v/>
      </c>
      <c r="H42" s="14" t="str">
        <f>if(TTM!H42="","",iferror(max(min(TTM!H42,1),-0.3),""))</f>
        <v/>
      </c>
      <c r="I42" s="14" t="str">
        <f>if(TTM!I42="","",iferror(max(min(TTM!I42,1),-0.3),""))</f>
        <v/>
      </c>
      <c r="J42" s="14" t="str">
        <f>if(TTM!J42="","",iferror(max(min(TTM!J42,1),-0.3),""))</f>
        <v/>
      </c>
      <c r="K42" s="14" t="str">
        <f>if(TTM!K42="","",iferror(max(min(TTM!K42,1),-0.3),""))</f>
        <v/>
      </c>
      <c r="L42" s="14" t="str">
        <f>if(TTM!L42="","",iferror(max(min(TTM!L42,1),-0.3),""))</f>
        <v/>
      </c>
      <c r="M42" s="14" t="str">
        <f>if(TTM!M42="","",iferror(max(min(TTM!M42,1),-0.3),""))</f>
        <v/>
      </c>
      <c r="N42" s="14" t="str">
        <f>if(TTM!N42="","",iferror(max(min(TTM!N42,1),-0.3),""))</f>
        <v/>
      </c>
      <c r="O42" s="14">
        <f>if(TTM!O42="","",iferror(max(min(TTM!O42,1),-0.3),""))</f>
        <v>0.8548529487</v>
      </c>
      <c r="P42" s="14" t="str">
        <f>if(TTM!P42="","",iferror(max(min(TTM!P42,1),-0.3),""))</f>
        <v/>
      </c>
      <c r="Q42" s="14" t="str">
        <f>if(TTM!Q42="","",iferror(max(min(TTM!Q42,1),-0.3),""))</f>
        <v/>
      </c>
      <c r="R42" s="14"/>
      <c r="S42" s="14" t="str">
        <f>if(TTM!S42="","",iferror(max(min(TTM!S42,1),-0.3),""))</f>
        <v/>
      </c>
      <c r="T42" s="14" t="str">
        <f>if(TTM!T42="","",iferror(max(min(TTM!T42,1),-0.3),""))</f>
        <v/>
      </c>
      <c r="U42" s="14" t="str">
        <f>if(TTM!U42="","",iferror(max(min(TTM!U42,1),-0.3),""))</f>
        <v/>
      </c>
      <c r="V42" s="14" t="str">
        <f>if(TTM!V42="","",iferror(max(min(TTM!V42,1),-0.3),""))</f>
        <v/>
      </c>
      <c r="W42" s="14" t="str">
        <f>if(TTM!W42="","",iferror(max(min(TTM!W42,1),-0.3),""))</f>
        <v/>
      </c>
      <c r="X42" s="14">
        <f>if(TTM!X42="","",iferror(max(min(TTM!X42,1),-0.3),""))</f>
        <v>0.1956827223</v>
      </c>
      <c r="Y42" s="14" t="str">
        <f>if(TTM!Y42="","",iferror(max(min(TTM!Y42,1),-0.3),""))</f>
        <v/>
      </c>
      <c r="Z42" s="14" t="str">
        <f>if(TTM!Z42="","",iferror(max(min(TTM!Z42,1),-0.3),""))</f>
        <v/>
      </c>
      <c r="AA42" s="14" t="str">
        <f>if(TTM!AA42="","",iferror(max(min(TTM!AA42,1),-0.3),""))</f>
        <v/>
      </c>
      <c r="AB42" s="14" t="str">
        <f>if(TTM!AB42="","",iferror(max(min(TTM!AB42,1),-0.3),""))</f>
        <v/>
      </c>
      <c r="AC42" s="14" t="str">
        <f>if(TTM!AC42="","",iferror(max(min(TTM!AC42,1),-0.3),""))</f>
        <v/>
      </c>
      <c r="AD42" s="12"/>
    </row>
    <row r="43">
      <c r="A43" s="15" t="s">
        <v>70</v>
      </c>
      <c r="B43" s="14" t="str">
        <f>if(TTM!B43="","",iferror(max(min(TTM!B43,1),-0.3),""))</f>
        <v/>
      </c>
      <c r="C43" s="14">
        <f>if(TTM!C43="","",iferror(max(min(TTM!C43,1),-0.3),""))</f>
        <v>0.1887307605</v>
      </c>
      <c r="D43" s="14">
        <f>if(TTM!D43="","",iferror(max(min(TTM!D43,1),-0.3),""))</f>
        <v>0.089593386</v>
      </c>
      <c r="E43" s="14">
        <f>if(TTM!E43="","",iferror(max(min(TTM!E43,1),-0.3),""))</f>
        <v>0.5439183033</v>
      </c>
      <c r="F43" s="14" t="str">
        <f>if(TTM!F43="","",iferror(max(min(TTM!F43,1),-0.3),""))</f>
        <v/>
      </c>
      <c r="G43" s="14" t="str">
        <f>if(TTM!G43="","",iferror(max(min(TTM!G43,1),-0.3),""))</f>
        <v/>
      </c>
      <c r="H43" s="14" t="str">
        <f>if(TTM!H43="","",iferror(max(min(TTM!H43,1),-0.3),""))</f>
        <v/>
      </c>
      <c r="I43" s="14" t="str">
        <f>if(TTM!I43="","",iferror(max(min(TTM!I43,1),-0.3),""))</f>
        <v/>
      </c>
      <c r="J43" s="14" t="str">
        <f>if(TTM!J43="","",iferror(max(min(TTM!J43,1),-0.3),""))</f>
        <v/>
      </c>
      <c r="K43" s="14" t="str">
        <f>if(TTM!K43="","",iferror(max(min(TTM!K43,1),-0.3),""))</f>
        <v/>
      </c>
      <c r="L43" s="14" t="str">
        <f>if(TTM!L43="","",iferror(max(min(TTM!L43,1),-0.3),""))</f>
        <v/>
      </c>
      <c r="M43" s="14" t="str">
        <f>if(TTM!M43="","",iferror(max(min(TTM!M43,1),-0.3),""))</f>
        <v/>
      </c>
      <c r="N43" s="14" t="str">
        <f>if(TTM!N43="","",iferror(max(min(TTM!N43,1),-0.3),""))</f>
        <v/>
      </c>
      <c r="O43" s="14">
        <f>if(TTM!O43="","",iferror(max(min(TTM!O43,1),-0.3),""))</f>
        <v>0.7077180195</v>
      </c>
      <c r="P43" s="14" t="str">
        <f>if(TTM!P43="","",iferror(max(min(TTM!P43,1),-0.3),""))</f>
        <v/>
      </c>
      <c r="Q43" s="14" t="str">
        <f>if(TTM!Q43="","",iferror(max(min(TTM!Q43,1),-0.3),""))</f>
        <v/>
      </c>
      <c r="R43" s="14"/>
      <c r="S43" s="14" t="str">
        <f>if(TTM!S43="","",iferror(max(min(TTM!S43,1),-0.3),""))</f>
        <v/>
      </c>
      <c r="T43" s="14" t="str">
        <f>if(TTM!T43="","",iferror(max(min(TTM!T43,1),-0.3),""))</f>
        <v/>
      </c>
      <c r="U43" s="14" t="str">
        <f>if(TTM!U43="","",iferror(max(min(TTM!U43,1),-0.3),""))</f>
        <v/>
      </c>
      <c r="V43" s="14" t="str">
        <f>if(TTM!V43="","",iferror(max(min(TTM!V43,1),-0.3),""))</f>
        <v/>
      </c>
      <c r="W43" s="14" t="str">
        <f>if(TTM!W43="","",iferror(max(min(TTM!W43,1),-0.3),""))</f>
        <v/>
      </c>
      <c r="X43" s="14">
        <f>if(TTM!X43="","",iferror(max(min(TTM!X43,1),-0.3),""))</f>
        <v>0.2489240125</v>
      </c>
      <c r="Y43" s="14" t="str">
        <f>if(TTM!Y43="","",iferror(max(min(TTM!Y43,1),-0.3),""))</f>
        <v/>
      </c>
      <c r="Z43" s="14" t="str">
        <f>if(TTM!Z43="","",iferror(max(min(TTM!Z43,1),-0.3),""))</f>
        <v/>
      </c>
      <c r="AA43" s="14" t="str">
        <f>if(TTM!AA43="","",iferror(max(min(TTM!AA43,1),-0.3),""))</f>
        <v/>
      </c>
      <c r="AB43" s="14" t="str">
        <f>if(TTM!AB43="","",iferror(max(min(TTM!AB43,1),-0.3),""))</f>
        <v/>
      </c>
      <c r="AC43" s="14" t="str">
        <f>if(TTM!AC43="","",iferror(max(min(TTM!AC43,1),-0.3),""))</f>
        <v/>
      </c>
      <c r="AD43" s="12"/>
    </row>
    <row r="44">
      <c r="A44" s="15" t="s">
        <v>71</v>
      </c>
      <c r="B44" s="14" t="str">
        <f>if(TTM!B44="","",iferror(max(min(TTM!B44,1),-0.3),""))</f>
        <v/>
      </c>
      <c r="C44" s="14">
        <f>if(TTM!C44="","",iferror(max(min(TTM!C44,1),-0.3),""))</f>
        <v>0.2107952006</v>
      </c>
      <c r="D44" s="14">
        <f>if(TTM!D44="","",iferror(max(min(TTM!D44,1),-0.3),""))</f>
        <v>0.1234502737</v>
      </c>
      <c r="E44" s="14">
        <f>if(TTM!E44="","",iferror(max(min(TTM!E44,1),-0.3),""))</f>
        <v>0.5852709069</v>
      </c>
      <c r="F44" s="14" t="str">
        <f>if(TTM!F44="","",iferror(max(min(TTM!F44,1),-0.3),""))</f>
        <v/>
      </c>
      <c r="G44" s="14" t="str">
        <f>if(TTM!G44="","",iferror(max(min(TTM!G44,1),-0.3),""))</f>
        <v/>
      </c>
      <c r="H44" s="14" t="str">
        <f>if(TTM!H44="","",iferror(max(min(TTM!H44,1),-0.3),""))</f>
        <v/>
      </c>
      <c r="I44" s="14" t="str">
        <f>if(TTM!I44="","",iferror(max(min(TTM!I44,1),-0.3),""))</f>
        <v/>
      </c>
      <c r="J44" s="14" t="str">
        <f>if(TTM!J44="","",iferror(max(min(TTM!J44,1),-0.3),""))</f>
        <v/>
      </c>
      <c r="K44" s="14" t="str">
        <f>if(TTM!K44="","",iferror(max(min(TTM!K44,1),-0.3),""))</f>
        <v/>
      </c>
      <c r="L44" s="14" t="str">
        <f>if(TTM!L44="","",iferror(max(min(TTM!L44,1),-0.3),""))</f>
        <v/>
      </c>
      <c r="M44" s="14" t="str">
        <f>if(TTM!M44="","",iferror(max(min(TTM!M44,1),-0.3),""))</f>
        <v/>
      </c>
      <c r="N44" s="14" t="str">
        <f>if(TTM!N44="","",iferror(max(min(TTM!N44,1),-0.3),""))</f>
        <v/>
      </c>
      <c r="O44" s="14">
        <f>if(TTM!O44="","",iferror(max(min(TTM!O44,1),-0.3),""))</f>
        <v>0.5605830904</v>
      </c>
      <c r="P44" s="14" t="str">
        <f>if(TTM!P44="","",iferror(max(min(TTM!P44,1),-0.3),""))</f>
        <v/>
      </c>
      <c r="Q44" s="14" t="str">
        <f>if(TTM!Q44="","",iferror(max(min(TTM!Q44,1),-0.3),""))</f>
        <v/>
      </c>
      <c r="R44" s="14"/>
      <c r="S44" s="14" t="str">
        <f>if(TTM!S44="","",iferror(max(min(TTM!S44,1),-0.3),""))</f>
        <v/>
      </c>
      <c r="T44" s="14" t="str">
        <f>if(TTM!T44="","",iferror(max(min(TTM!T44,1),-0.3),""))</f>
        <v/>
      </c>
      <c r="U44" s="14" t="str">
        <f>if(TTM!U44="","",iferror(max(min(TTM!U44,1),-0.3),""))</f>
        <v/>
      </c>
      <c r="V44" s="14" t="str">
        <f>if(TTM!V44="","",iferror(max(min(TTM!V44,1),-0.3),""))</f>
        <v/>
      </c>
      <c r="W44" s="14" t="str">
        <f>if(TTM!W44="","",iferror(max(min(TTM!W44,1),-0.3),""))</f>
        <v/>
      </c>
      <c r="X44" s="14">
        <f>if(TTM!X44="","",iferror(max(min(TTM!X44,1),-0.3),""))</f>
        <v>0.3021653027</v>
      </c>
      <c r="Y44" s="14" t="str">
        <f>if(TTM!Y44="","",iferror(max(min(TTM!Y44,1),-0.3),""))</f>
        <v/>
      </c>
      <c r="Z44" s="14" t="str">
        <f>if(TTM!Z44="","",iferror(max(min(TTM!Z44,1),-0.3),""))</f>
        <v/>
      </c>
      <c r="AA44" s="14" t="str">
        <f>if(TTM!AA44="","",iferror(max(min(TTM!AA44,1),-0.3),""))</f>
        <v/>
      </c>
      <c r="AB44" s="14" t="str">
        <f>if(TTM!AB44="","",iferror(max(min(TTM!AB44,1),-0.3),""))</f>
        <v/>
      </c>
      <c r="AC44" s="14" t="str">
        <f>if(TTM!AC44="","",iferror(max(min(TTM!AC44,1),-0.3),""))</f>
        <v/>
      </c>
      <c r="AD44" s="12"/>
    </row>
    <row r="45">
      <c r="A45" s="15" t="s">
        <v>72</v>
      </c>
      <c r="B45" s="14" t="str">
        <f>if(TTM!B45="","",iferror(max(min(TTM!B45,1),-0.3),""))</f>
        <v/>
      </c>
      <c r="C45" s="14">
        <f>if(TTM!C45="","",iferror(max(min(TTM!C45,1),-0.3),""))</f>
        <v>0.2328596408</v>
      </c>
      <c r="D45" s="14">
        <f>if(TTM!D45="","",iferror(max(min(TTM!D45,1),-0.3),""))</f>
        <v>0.1573071614</v>
      </c>
      <c r="E45" s="14">
        <f>if(TTM!E45="","",iferror(max(min(TTM!E45,1),-0.3),""))</f>
        <v>0.6266235105</v>
      </c>
      <c r="F45" s="14" t="str">
        <f>if(TTM!F45="","",iferror(max(min(TTM!F45,1),-0.3),""))</f>
        <v/>
      </c>
      <c r="G45" s="14" t="str">
        <f>if(TTM!G45="","",iferror(max(min(TTM!G45,1),-0.3),""))</f>
        <v/>
      </c>
      <c r="H45" s="14" t="str">
        <f>if(TTM!H45="","",iferror(max(min(TTM!H45,1),-0.3),""))</f>
        <v/>
      </c>
      <c r="I45" s="14" t="str">
        <f>if(TTM!I45="","",iferror(max(min(TTM!I45,1),-0.3),""))</f>
        <v/>
      </c>
      <c r="J45" s="14" t="str">
        <f>if(TTM!J45="","",iferror(max(min(TTM!J45,1),-0.3),""))</f>
        <v/>
      </c>
      <c r="K45" s="14" t="str">
        <f>if(TTM!K45="","",iferror(max(min(TTM!K45,1),-0.3),""))</f>
        <v/>
      </c>
      <c r="L45" s="14" t="str">
        <f>if(TTM!L45="","",iferror(max(min(TTM!L45,1),-0.3),""))</f>
        <v/>
      </c>
      <c r="M45" s="14" t="str">
        <f>if(TTM!M45="","",iferror(max(min(TTM!M45,1),-0.3),""))</f>
        <v/>
      </c>
      <c r="N45" s="14" t="str">
        <f>if(TTM!N45="","",iferror(max(min(TTM!N45,1),-0.3),""))</f>
        <v/>
      </c>
      <c r="O45" s="14">
        <f>if(TTM!O45="","",iferror(max(min(TTM!O45,1),-0.3),""))</f>
        <v>0.5934682549</v>
      </c>
      <c r="P45" s="14" t="str">
        <f>if(TTM!P45="","",iferror(max(min(TTM!P45,1),-0.3),""))</f>
        <v/>
      </c>
      <c r="Q45" s="14" t="str">
        <f>if(TTM!Q45="","",iferror(max(min(TTM!Q45,1),-0.3),""))</f>
        <v/>
      </c>
      <c r="R45" s="14"/>
      <c r="S45" s="14" t="str">
        <f>if(TTM!S45="","",iferror(max(min(TTM!S45,1),-0.3),""))</f>
        <v/>
      </c>
      <c r="T45" s="14" t="str">
        <f>if(TTM!T45="","",iferror(max(min(TTM!T45,1),-0.3),""))</f>
        <v/>
      </c>
      <c r="U45" s="14" t="str">
        <f>if(TTM!U45="","",iferror(max(min(TTM!U45,1),-0.3),""))</f>
        <v/>
      </c>
      <c r="V45" s="14" t="str">
        <f>if(TTM!V45="","",iferror(max(min(TTM!V45,1),-0.3),""))</f>
        <v/>
      </c>
      <c r="W45" s="14" t="str">
        <f>if(TTM!W45="","",iferror(max(min(TTM!W45,1),-0.3),""))</f>
        <v/>
      </c>
      <c r="X45" s="14">
        <f>if(TTM!X45="","",iferror(max(min(TTM!X45,1),-0.3),""))</f>
        <v>0.3441724264</v>
      </c>
      <c r="Y45" s="14" t="str">
        <f>if(TTM!Y45="","",iferror(max(min(TTM!Y45,1),-0.3),""))</f>
        <v/>
      </c>
      <c r="Z45" s="14" t="str">
        <f>if(TTM!Z45="","",iferror(max(min(TTM!Z45,1),-0.3),""))</f>
        <v/>
      </c>
      <c r="AA45" s="14" t="str">
        <f>if(TTM!AA45="","",iferror(max(min(TTM!AA45,1),-0.3),""))</f>
        <v/>
      </c>
      <c r="AB45" s="14" t="str">
        <f>if(TTM!AB45="","",iferror(max(min(TTM!AB45,1),-0.3),""))</f>
        <v/>
      </c>
      <c r="AC45" s="14" t="str">
        <f>if(TTM!AC45="","",iferror(max(min(TTM!AC45,1),-0.3),""))</f>
        <v/>
      </c>
      <c r="AD45" s="12"/>
    </row>
    <row r="46">
      <c r="A46" s="15" t="s">
        <v>73</v>
      </c>
      <c r="B46" s="14" t="str">
        <f>if(TTM!B46="","",iferror(max(min(TTM!B46,1),-0.3),""))</f>
        <v/>
      </c>
      <c r="C46" s="14">
        <f>if(TTM!C46="","",iferror(max(min(TTM!C46,1),-0.3),""))</f>
        <v>0.2549240809</v>
      </c>
      <c r="D46" s="14">
        <f>if(TTM!D46="","",iferror(max(min(TTM!D46,1),-0.3),""))</f>
        <v>0.1911640491</v>
      </c>
      <c r="E46" s="14">
        <f>if(TTM!E46="","",iferror(max(min(TTM!E46,1),-0.3),""))</f>
        <v>0.6679761141</v>
      </c>
      <c r="F46" s="14" t="str">
        <f>if(TTM!F46="","",iferror(max(min(TTM!F46,1),-0.3),""))</f>
        <v/>
      </c>
      <c r="G46" s="14" t="str">
        <f>if(TTM!G46="","",iferror(max(min(TTM!G46,1),-0.3),""))</f>
        <v/>
      </c>
      <c r="H46" s="14" t="str">
        <f>if(TTM!H46="","",iferror(max(min(TTM!H46,1),-0.3),""))</f>
        <v/>
      </c>
      <c r="I46" s="14" t="str">
        <f>if(TTM!I46="","",iferror(max(min(TTM!I46,1),-0.3),""))</f>
        <v/>
      </c>
      <c r="J46" s="14" t="str">
        <f>if(TTM!J46="","",iferror(max(min(TTM!J46,1),-0.3),""))</f>
        <v/>
      </c>
      <c r="K46" s="14" t="str">
        <f>if(TTM!K46="","",iferror(max(min(TTM!K46,1),-0.3),""))</f>
        <v/>
      </c>
      <c r="L46" s="14" t="str">
        <f>if(TTM!L46="","",iferror(max(min(TTM!L46,1),-0.3),""))</f>
        <v/>
      </c>
      <c r="M46" s="14" t="str">
        <f>if(TTM!M46="","",iferror(max(min(TTM!M46,1),-0.3),""))</f>
        <v/>
      </c>
      <c r="N46" s="14" t="str">
        <f>if(TTM!N46="","",iferror(max(min(TTM!N46,1),-0.3),""))</f>
        <v/>
      </c>
      <c r="O46" s="14">
        <f>if(TTM!O46="","",iferror(max(min(TTM!O46,1),-0.3),""))</f>
        <v>0.6263534193</v>
      </c>
      <c r="P46" s="14" t="str">
        <f>if(TTM!P46="","",iferror(max(min(TTM!P46,1),-0.3),""))</f>
        <v/>
      </c>
      <c r="Q46" s="14" t="str">
        <f>if(TTM!Q46="","",iferror(max(min(TTM!Q46,1),-0.3),""))</f>
        <v/>
      </c>
      <c r="R46" s="14"/>
      <c r="S46" s="14" t="str">
        <f>if(TTM!S46="","",iferror(max(min(TTM!S46,1),-0.3),""))</f>
        <v/>
      </c>
      <c r="T46" s="14" t="str">
        <f>if(TTM!T46="","",iferror(max(min(TTM!T46,1),-0.3),""))</f>
        <v/>
      </c>
      <c r="U46" s="14" t="str">
        <f>if(TTM!U46="","",iferror(max(min(TTM!U46,1),-0.3),""))</f>
        <v/>
      </c>
      <c r="V46" s="14" t="str">
        <f>if(TTM!V46="","",iferror(max(min(TTM!V46,1),-0.3),""))</f>
        <v/>
      </c>
      <c r="W46" s="14" t="str">
        <f>if(TTM!W46="","",iferror(max(min(TTM!W46,1),-0.3),""))</f>
        <v/>
      </c>
      <c r="X46" s="14">
        <f>if(TTM!X46="","",iferror(max(min(TTM!X46,1),-0.3),""))</f>
        <v>0.3861795501</v>
      </c>
      <c r="Y46" s="14" t="str">
        <f>if(TTM!Y46="","",iferror(max(min(TTM!Y46,1),-0.3),""))</f>
        <v/>
      </c>
      <c r="Z46" s="14" t="str">
        <f>if(TTM!Z46="","",iferror(max(min(TTM!Z46,1),-0.3),""))</f>
        <v/>
      </c>
      <c r="AA46" s="14" t="str">
        <f>if(TTM!AA46="","",iferror(max(min(TTM!AA46,1),-0.3),""))</f>
        <v/>
      </c>
      <c r="AB46" s="14" t="str">
        <f>if(TTM!AB46="","",iferror(max(min(TTM!AB46,1),-0.3),""))</f>
        <v/>
      </c>
      <c r="AC46" s="14" t="str">
        <f>if(TTM!AC46="","",iferror(max(min(TTM!AC46,1),-0.3),""))</f>
        <v/>
      </c>
      <c r="AD46" s="12"/>
    </row>
    <row r="47">
      <c r="A47" s="15" t="s">
        <v>74</v>
      </c>
      <c r="B47" s="14" t="str">
        <f>if(TTM!B47="","",iferror(max(min(TTM!B47,1),-0.3),""))</f>
        <v/>
      </c>
      <c r="C47" s="14">
        <f>if(TTM!C47="","",iferror(max(min(TTM!C47,1),-0.3),""))</f>
        <v>0.2755186539</v>
      </c>
      <c r="D47" s="14">
        <f>if(TTM!D47="","",iferror(max(min(TTM!D47,1),-0.3),""))</f>
        <v>0.1688558848</v>
      </c>
      <c r="E47" s="14">
        <f>if(TTM!E47="","",iferror(max(min(TTM!E47,1),-0.3),""))</f>
        <v>0.5836595654</v>
      </c>
      <c r="F47" s="14" t="str">
        <f>if(TTM!F47="","",iferror(max(min(TTM!F47,1),-0.3),""))</f>
        <v/>
      </c>
      <c r="G47" s="14" t="str">
        <f>if(TTM!G47="","",iferror(max(min(TTM!G47,1),-0.3),""))</f>
        <v/>
      </c>
      <c r="H47" s="14" t="str">
        <f>if(TTM!H47="","",iferror(max(min(TTM!H47,1),-0.3),""))</f>
        <v/>
      </c>
      <c r="I47" s="14" t="str">
        <f>if(TTM!I47="","",iferror(max(min(TTM!I47,1),-0.3),""))</f>
        <v/>
      </c>
      <c r="J47" s="14" t="str">
        <f>if(TTM!J47="","",iferror(max(min(TTM!J47,1),-0.3),""))</f>
        <v/>
      </c>
      <c r="K47" s="14" t="str">
        <f>if(TTM!K47="","",iferror(max(min(TTM!K47,1),-0.3),""))</f>
        <v/>
      </c>
      <c r="L47" s="14" t="str">
        <f>if(TTM!L47="","",iferror(max(min(TTM!L47,1),-0.3),""))</f>
        <v/>
      </c>
      <c r="M47" s="14" t="str">
        <f>if(TTM!M47="","",iferror(max(min(TTM!M47,1),-0.3),""))</f>
        <v/>
      </c>
      <c r="N47" s="14" t="str">
        <f>if(TTM!N47="","",iferror(max(min(TTM!N47,1),-0.3),""))</f>
        <v/>
      </c>
      <c r="O47" s="14">
        <f>if(TTM!O47="","",iferror(max(min(TTM!O47,1),-0.3),""))</f>
        <v>0.6592385838</v>
      </c>
      <c r="P47" s="14" t="str">
        <f>if(TTM!P47="","",iferror(max(min(TTM!P47,1),-0.3),""))</f>
        <v/>
      </c>
      <c r="Q47" s="14" t="str">
        <f>if(TTM!Q47="","",iferror(max(min(TTM!Q47,1),-0.3),""))</f>
        <v/>
      </c>
      <c r="R47" s="14"/>
      <c r="S47" s="14" t="str">
        <f>if(TTM!S47="","",iferror(max(min(TTM!S47,1),-0.3),""))</f>
        <v/>
      </c>
      <c r="T47" s="14" t="str">
        <f>if(TTM!T47="","",iferror(max(min(TTM!T47,1),-0.3),""))</f>
        <v/>
      </c>
      <c r="U47" s="14" t="str">
        <f>if(TTM!U47="","",iferror(max(min(TTM!U47,1),-0.3),""))</f>
        <v/>
      </c>
      <c r="V47" s="14" t="str">
        <f>if(TTM!V47="","",iferror(max(min(TTM!V47,1),-0.3),""))</f>
        <v/>
      </c>
      <c r="W47" s="14" t="str">
        <f>if(TTM!W47="","",iferror(max(min(TTM!W47,1),-0.3),""))</f>
        <v/>
      </c>
      <c r="X47" s="14">
        <f>if(TTM!X47="","",iferror(max(min(TTM!X47,1),-0.3),""))</f>
        <v>0.4281866738</v>
      </c>
      <c r="Y47" s="14" t="str">
        <f>if(TTM!Y47="","",iferror(max(min(TTM!Y47,1),-0.3),""))</f>
        <v/>
      </c>
      <c r="Z47" s="14" t="str">
        <f>if(TTM!Z47="","",iferror(max(min(TTM!Z47,1),-0.3),""))</f>
        <v/>
      </c>
      <c r="AA47" s="14" t="str">
        <f>if(TTM!AA47="","",iferror(max(min(TTM!AA47,1),-0.3),""))</f>
        <v/>
      </c>
      <c r="AB47" s="14" t="str">
        <f>if(TTM!AB47="","",iferror(max(min(TTM!AB47,1),-0.3),""))</f>
        <v/>
      </c>
      <c r="AC47" s="14" t="str">
        <f>if(TTM!AC47="","",iferror(max(min(TTM!AC47,1),-0.3),""))</f>
        <v/>
      </c>
      <c r="AD47" s="12"/>
    </row>
    <row r="48">
      <c r="A48" s="15" t="s">
        <v>75</v>
      </c>
      <c r="B48" s="14" t="str">
        <f>if(TTM!B48="","",iferror(max(min(TTM!B48,1),-0.3),""))</f>
        <v/>
      </c>
      <c r="C48" s="14">
        <f>if(TTM!C48="","",iferror(max(min(TTM!C48,1),-0.3),""))</f>
        <v>0.2961132269</v>
      </c>
      <c r="D48" s="14">
        <f>if(TTM!D48="","",iferror(max(min(TTM!D48,1),-0.3),""))</f>
        <v>0.1465477204</v>
      </c>
      <c r="E48" s="14">
        <f>if(TTM!E48="","",iferror(max(min(TTM!E48,1),-0.3),""))</f>
        <v>0.4993430168</v>
      </c>
      <c r="F48" s="14" t="str">
        <f>if(TTM!F48="","",iferror(max(min(TTM!F48,1),-0.3),""))</f>
        <v/>
      </c>
      <c r="G48" s="14" t="str">
        <f>if(TTM!G48="","",iferror(max(min(TTM!G48,1),-0.3),""))</f>
        <v/>
      </c>
      <c r="H48" s="14" t="str">
        <f>if(TTM!H48="","",iferror(max(min(TTM!H48,1),-0.3),""))</f>
        <v/>
      </c>
      <c r="I48" s="14" t="str">
        <f>if(TTM!I48="","",iferror(max(min(TTM!I48,1),-0.3),""))</f>
        <v/>
      </c>
      <c r="J48" s="14" t="str">
        <f>if(TTM!J48="","",iferror(max(min(TTM!J48,1),-0.3),""))</f>
        <v/>
      </c>
      <c r="K48" s="14" t="str">
        <f>if(TTM!K48="","",iferror(max(min(TTM!K48,1),-0.3),""))</f>
        <v/>
      </c>
      <c r="L48" s="14" t="str">
        <f>if(TTM!L48="","",iferror(max(min(TTM!L48,1),-0.3),""))</f>
        <v/>
      </c>
      <c r="M48" s="14" t="str">
        <f>if(TTM!M48="","",iferror(max(min(TTM!M48,1),-0.3),""))</f>
        <v/>
      </c>
      <c r="N48" s="14" t="str">
        <f>if(TTM!N48="","",iferror(max(min(TTM!N48,1),-0.3),""))</f>
        <v/>
      </c>
      <c r="O48" s="14">
        <f>if(TTM!O48="","",iferror(max(min(TTM!O48,1),-0.3),""))</f>
        <v>0.6921237483</v>
      </c>
      <c r="P48" s="14" t="str">
        <f>if(TTM!P48="","",iferror(max(min(TTM!P48,1),-0.3),""))</f>
        <v/>
      </c>
      <c r="Q48" s="14" t="str">
        <f>if(TTM!Q48="","",iferror(max(min(TTM!Q48,1),-0.3),""))</f>
        <v/>
      </c>
      <c r="R48" s="14"/>
      <c r="S48" s="14" t="str">
        <f>if(TTM!S48="","",iferror(max(min(TTM!S48,1),-0.3),""))</f>
        <v/>
      </c>
      <c r="T48" s="14" t="str">
        <f>if(TTM!T48="","",iferror(max(min(TTM!T48,1),-0.3),""))</f>
        <v/>
      </c>
      <c r="U48" s="14" t="str">
        <f>if(TTM!U48="","",iferror(max(min(TTM!U48,1),-0.3),""))</f>
        <v/>
      </c>
      <c r="V48" s="14">
        <f>if(TTM!V48="","",iferror(max(min(TTM!V48,1),-0.3),""))</f>
        <v>0.01280558789</v>
      </c>
      <c r="W48" s="14" t="str">
        <f>if(TTM!W48="","",iferror(max(min(TTM!W48,1),-0.3),""))</f>
        <v/>
      </c>
      <c r="X48" s="14">
        <f>if(TTM!X48="","",iferror(max(min(TTM!X48,1),-0.3),""))</f>
        <v>0.4701937975</v>
      </c>
      <c r="Y48" s="14" t="str">
        <f>if(TTM!Y48="","",iferror(max(min(TTM!Y48,1),-0.3),""))</f>
        <v/>
      </c>
      <c r="Z48" s="14" t="str">
        <f>if(TTM!Z48="","",iferror(max(min(TTM!Z48,1),-0.3),""))</f>
        <v/>
      </c>
      <c r="AA48" s="14" t="str">
        <f>if(TTM!AA48="","",iferror(max(min(TTM!AA48,1),-0.3),""))</f>
        <v/>
      </c>
      <c r="AB48" s="14" t="str">
        <f>if(TTM!AB48="","",iferror(max(min(TTM!AB48,1),-0.3),""))</f>
        <v/>
      </c>
      <c r="AC48" s="14" t="str">
        <f>if(TTM!AC48="","",iferror(max(min(TTM!AC48,1),-0.3),""))</f>
        <v/>
      </c>
      <c r="AD48" s="12"/>
    </row>
    <row r="49">
      <c r="A49" s="15" t="s">
        <v>76</v>
      </c>
      <c r="B49" s="14" t="str">
        <f>if(TTM!B49="","",iferror(max(min(TTM!B49,1),-0.3),""))</f>
        <v/>
      </c>
      <c r="C49" s="14">
        <f>if(TTM!C49="","",iferror(max(min(TTM!C49,1),-0.3),""))</f>
        <v>0.3167077998</v>
      </c>
      <c r="D49" s="14">
        <f>if(TTM!D49="","",iferror(max(min(TTM!D49,1),-0.3),""))</f>
        <v>0.124239556</v>
      </c>
      <c r="E49" s="14">
        <f>if(TTM!E49="","",iferror(max(min(TTM!E49,1),-0.3),""))</f>
        <v>0.4150264681</v>
      </c>
      <c r="F49" s="14" t="str">
        <f>if(TTM!F49="","",iferror(max(min(TTM!F49,1),-0.3),""))</f>
        <v/>
      </c>
      <c r="G49" s="14" t="str">
        <f>if(TTM!G49="","",iferror(max(min(TTM!G49,1),-0.3),""))</f>
        <v/>
      </c>
      <c r="H49" s="14" t="str">
        <f>if(TTM!H49="","",iferror(max(min(TTM!H49,1),-0.3),""))</f>
        <v/>
      </c>
      <c r="I49" s="14" t="str">
        <f>if(TTM!I49="","",iferror(max(min(TTM!I49,1),-0.3),""))</f>
        <v/>
      </c>
      <c r="J49" s="14" t="str">
        <f>if(TTM!J49="","",iferror(max(min(TTM!J49,1),-0.3),""))</f>
        <v/>
      </c>
      <c r="K49" s="14" t="str">
        <f>if(TTM!K49="","",iferror(max(min(TTM!K49,1),-0.3),""))</f>
        <v/>
      </c>
      <c r="L49" s="14" t="str">
        <f>if(TTM!L49="","",iferror(max(min(TTM!L49,1),-0.3),""))</f>
        <v/>
      </c>
      <c r="M49" s="14" t="str">
        <f>if(TTM!M49="","",iferror(max(min(TTM!M49,1),-0.3),""))</f>
        <v/>
      </c>
      <c r="N49" s="14" t="str">
        <f>if(TTM!N49="","",iferror(max(min(TTM!N49,1),-0.3),""))</f>
        <v/>
      </c>
      <c r="O49" s="14">
        <f>if(TTM!O49="","",iferror(max(min(TTM!O49,1),-0.3),""))</f>
        <v>0.5229900909</v>
      </c>
      <c r="P49" s="14" t="str">
        <f>if(TTM!P49="","",iferror(max(min(TTM!P49,1),-0.3),""))</f>
        <v/>
      </c>
      <c r="Q49" s="14" t="str">
        <f>if(TTM!Q49="","",iferror(max(min(TTM!Q49,1),-0.3),""))</f>
        <v/>
      </c>
      <c r="R49" s="14"/>
      <c r="S49" s="14" t="str">
        <f>if(TTM!S49="","",iferror(max(min(TTM!S49,1),-0.3),""))</f>
        <v/>
      </c>
      <c r="T49" s="14" t="str">
        <f>if(TTM!T49="","",iferror(max(min(TTM!T49,1),-0.3),""))</f>
        <v/>
      </c>
      <c r="U49" s="14" t="str">
        <f>if(TTM!U49="","",iferror(max(min(TTM!U49,1),-0.3),""))</f>
        <v/>
      </c>
      <c r="V49" s="14">
        <f>if(TTM!V49="","",iferror(max(min(TTM!V49,1),-0.3),""))</f>
        <v>0.01280558789</v>
      </c>
      <c r="W49" s="14" t="str">
        <f>if(TTM!W49="","",iferror(max(min(TTM!W49,1),-0.3),""))</f>
        <v/>
      </c>
      <c r="X49" s="14">
        <f>if(TTM!X49="","",iferror(max(min(TTM!X49,1),-0.3),""))</f>
        <v>0.3473453559</v>
      </c>
      <c r="Y49" s="14" t="str">
        <f>if(TTM!Y49="","",iferror(max(min(TTM!Y49,1),-0.3),""))</f>
        <v/>
      </c>
      <c r="Z49" s="14" t="str">
        <f>if(TTM!Z49="","",iferror(max(min(TTM!Z49,1),-0.3),""))</f>
        <v/>
      </c>
      <c r="AA49" s="14" t="str">
        <f>if(TTM!AA49="","",iferror(max(min(TTM!AA49,1),-0.3),""))</f>
        <v/>
      </c>
      <c r="AB49" s="14" t="str">
        <f>if(TTM!AB49="","",iferror(max(min(TTM!AB49,1),-0.3),""))</f>
        <v/>
      </c>
      <c r="AC49" s="14" t="str">
        <f>if(TTM!AC49="","",iferror(max(min(TTM!AC49,1),-0.3),""))</f>
        <v/>
      </c>
      <c r="AD49" s="12"/>
    </row>
    <row r="50">
      <c r="A50" s="15" t="s">
        <v>77</v>
      </c>
      <c r="B50" s="14" t="str">
        <f>if(TTM!B50="","",iferror(max(min(TTM!B50,1),-0.3),""))</f>
        <v/>
      </c>
      <c r="C50" s="14">
        <f>if(TTM!C50="","",iferror(max(min(TTM!C50,1),-0.3),""))</f>
        <v>0.3373023728</v>
      </c>
      <c r="D50" s="14">
        <f>if(TTM!D50="","",iferror(max(min(TTM!D50,1),-0.3),""))</f>
        <v>0.1019313917</v>
      </c>
      <c r="E50" s="14">
        <f>if(TTM!E50="","",iferror(max(min(TTM!E50,1),-0.3),""))</f>
        <v>0.3307099195</v>
      </c>
      <c r="F50" s="14" t="str">
        <f>if(TTM!F50="","",iferror(max(min(TTM!F50,1),-0.3),""))</f>
        <v/>
      </c>
      <c r="G50" s="14" t="str">
        <f>if(TTM!G50="","",iferror(max(min(TTM!G50,1),-0.3),""))</f>
        <v/>
      </c>
      <c r="H50" s="14" t="str">
        <f>if(TTM!H50="","",iferror(max(min(TTM!H50,1),-0.3),""))</f>
        <v/>
      </c>
      <c r="I50" s="14" t="str">
        <f>if(TTM!I50="","",iferror(max(min(TTM!I50,1),-0.3),""))</f>
        <v/>
      </c>
      <c r="J50" s="14" t="str">
        <f>if(TTM!J50="","",iferror(max(min(TTM!J50,1),-0.3),""))</f>
        <v/>
      </c>
      <c r="K50" s="14" t="str">
        <f>if(TTM!K50="","",iferror(max(min(TTM!K50,1),-0.3),""))</f>
        <v/>
      </c>
      <c r="L50" s="14" t="str">
        <f>if(TTM!L50="","",iferror(max(min(TTM!L50,1),-0.3),""))</f>
        <v/>
      </c>
      <c r="M50" s="14" t="str">
        <f>if(TTM!M50="","",iferror(max(min(TTM!M50,1),-0.3),""))</f>
        <v/>
      </c>
      <c r="N50" s="14" t="str">
        <f>if(TTM!N50="","",iferror(max(min(TTM!N50,1),-0.3),""))</f>
        <v/>
      </c>
      <c r="O50" s="14">
        <f>if(TTM!O50="","",iferror(max(min(TTM!O50,1),-0.3),""))</f>
        <v>0.3538564334</v>
      </c>
      <c r="P50" s="14" t="str">
        <f>if(TTM!P50="","",iferror(max(min(TTM!P50,1),-0.3),""))</f>
        <v/>
      </c>
      <c r="Q50" s="14" t="str">
        <f>if(TTM!Q50="","",iferror(max(min(TTM!Q50,1),-0.3),""))</f>
        <v/>
      </c>
      <c r="R50" s="14"/>
      <c r="S50" s="14" t="str">
        <f>if(TTM!S50="","",iferror(max(min(TTM!S50,1),-0.3),""))</f>
        <v/>
      </c>
      <c r="T50" s="14" t="str">
        <f>if(TTM!T50="","",iferror(max(min(TTM!T50,1),-0.3),""))</f>
        <v/>
      </c>
      <c r="U50" s="14" t="str">
        <f>if(TTM!U50="","",iferror(max(min(TTM!U50,1),-0.3),""))</f>
        <v/>
      </c>
      <c r="V50" s="14">
        <f>if(TTM!V50="","",iferror(max(min(TTM!V50,1),-0.3),""))</f>
        <v>0.01280558789</v>
      </c>
      <c r="W50" s="14" t="str">
        <f>if(TTM!W50="","",iferror(max(min(TTM!W50,1),-0.3),""))</f>
        <v/>
      </c>
      <c r="X50" s="14">
        <f>if(TTM!X50="","",iferror(max(min(TTM!X50,1),-0.3),""))</f>
        <v>0.2244969142</v>
      </c>
      <c r="Y50" s="14" t="str">
        <f>if(TTM!Y50="","",iferror(max(min(TTM!Y50,1),-0.3),""))</f>
        <v/>
      </c>
      <c r="Z50" s="14" t="str">
        <f>if(TTM!Z50="","",iferror(max(min(TTM!Z50,1),-0.3),""))</f>
        <v/>
      </c>
      <c r="AA50" s="14" t="str">
        <f>if(TTM!AA50="","",iferror(max(min(TTM!AA50,1),-0.3),""))</f>
        <v/>
      </c>
      <c r="AB50" s="14" t="str">
        <f>if(TTM!AB50="","",iferror(max(min(TTM!AB50,1),-0.3),""))</f>
        <v/>
      </c>
      <c r="AC50" s="14" t="str">
        <f>if(TTM!AC50="","",iferror(max(min(TTM!AC50,1),-0.3),""))</f>
        <v/>
      </c>
      <c r="AD50" s="12"/>
    </row>
    <row r="51">
      <c r="A51" s="15" t="s">
        <v>78</v>
      </c>
      <c r="B51" s="14" t="str">
        <f>if(TTM!B51="","",iferror(max(min(TTM!B51,1),-0.3),""))</f>
        <v/>
      </c>
      <c r="C51" s="14">
        <f>if(TTM!C51="","",iferror(max(min(TTM!C51,1),-0.3),""))</f>
        <v>0.3131163908</v>
      </c>
      <c r="D51" s="14">
        <f>if(TTM!D51="","",iferror(max(min(TTM!D51,1),-0.3),""))</f>
        <v>0.05993840232</v>
      </c>
      <c r="E51" s="14">
        <f>if(TTM!E51="","",iferror(max(min(TTM!E51,1),-0.3),""))</f>
        <v>0.3316033091</v>
      </c>
      <c r="F51" s="14" t="str">
        <f>if(TTM!F51="","",iferror(max(min(TTM!F51,1),-0.3),""))</f>
        <v/>
      </c>
      <c r="G51" s="14" t="str">
        <f>if(TTM!G51="","",iferror(max(min(TTM!G51,1),-0.3),""))</f>
        <v/>
      </c>
      <c r="H51" s="14" t="str">
        <f>if(TTM!H51="","",iferror(max(min(TTM!H51,1),-0.3),""))</f>
        <v/>
      </c>
      <c r="I51" s="14" t="str">
        <f>if(TTM!I51="","",iferror(max(min(TTM!I51,1),-0.3),""))</f>
        <v/>
      </c>
      <c r="J51" s="14" t="str">
        <f>if(TTM!J51="","",iferror(max(min(TTM!J51,1),-0.3),""))</f>
        <v/>
      </c>
      <c r="K51" s="14" t="str">
        <f>if(TTM!K51="","",iferror(max(min(TTM!K51,1),-0.3),""))</f>
        <v/>
      </c>
      <c r="L51" s="14" t="str">
        <f>if(TTM!L51="","",iferror(max(min(TTM!L51,1),-0.3),""))</f>
        <v/>
      </c>
      <c r="M51" s="14" t="str">
        <f>if(TTM!M51="","",iferror(max(min(TTM!M51,1),-0.3),""))</f>
        <v/>
      </c>
      <c r="N51" s="14" t="str">
        <f>if(TTM!N51="","",iferror(max(min(TTM!N51,1),-0.3),""))</f>
        <v/>
      </c>
      <c r="O51" s="14">
        <f>if(TTM!O51="","",iferror(max(min(TTM!O51,1),-0.3),""))</f>
        <v>0.184722776</v>
      </c>
      <c r="P51" s="14" t="str">
        <f>if(TTM!P51="","",iferror(max(min(TTM!P51,1),-0.3),""))</f>
        <v/>
      </c>
      <c r="Q51" s="14" t="str">
        <f>if(TTM!Q51="","",iferror(max(min(TTM!Q51,1),-0.3),""))</f>
        <v/>
      </c>
      <c r="R51" s="14"/>
      <c r="S51" s="14" t="str">
        <f>if(TTM!S51="","",iferror(max(min(TTM!S51,1),-0.3),""))</f>
        <v/>
      </c>
      <c r="T51" s="14" t="str">
        <f>if(TTM!T51="","",iferror(max(min(TTM!T51,1),-0.3),""))</f>
        <v/>
      </c>
      <c r="U51" s="14" t="str">
        <f>if(TTM!U51="","",iferror(max(min(TTM!U51,1),-0.3),""))</f>
        <v/>
      </c>
      <c r="V51" s="14">
        <f>if(TTM!V51="","",iferror(max(min(TTM!V51,1),-0.3),""))</f>
        <v>-0.02832684356</v>
      </c>
      <c r="W51" s="14" t="str">
        <f>if(TTM!W51="","",iferror(max(min(TTM!W51,1),-0.3),""))</f>
        <v/>
      </c>
      <c r="X51" s="14">
        <f>if(TTM!X51="","",iferror(max(min(TTM!X51,1),-0.3),""))</f>
        <v>0.1016484725</v>
      </c>
      <c r="Y51" s="14" t="str">
        <f>if(TTM!Y51="","",iferror(max(min(TTM!Y51,1),-0.3),""))</f>
        <v/>
      </c>
      <c r="Z51" s="14" t="str">
        <f>if(TTM!Z51="","",iferror(max(min(TTM!Z51,1),-0.3),""))</f>
        <v/>
      </c>
      <c r="AA51" s="14" t="str">
        <f>if(TTM!AA51="","",iferror(max(min(TTM!AA51,1),-0.3),""))</f>
        <v/>
      </c>
      <c r="AB51" s="14" t="str">
        <f>if(TTM!AB51="","",iferror(max(min(TTM!AB51,1),-0.3),""))</f>
        <v/>
      </c>
      <c r="AC51" s="14" t="str">
        <f>if(TTM!AC51="","",iferror(max(min(TTM!AC51,1),-0.3),""))</f>
        <v/>
      </c>
      <c r="AD51" s="12"/>
    </row>
    <row r="52">
      <c r="A52" s="15" t="s">
        <v>79</v>
      </c>
      <c r="B52" s="14" t="str">
        <f>if(TTM!B52="","",iferror(max(min(TTM!B52,1),-0.3),""))</f>
        <v/>
      </c>
      <c r="C52" s="14">
        <f>if(TTM!C52="","",iferror(max(min(TTM!C52,1),-0.3),""))</f>
        <v>0.2889304088</v>
      </c>
      <c r="D52" s="14">
        <f>if(TTM!D52="","",iferror(max(min(TTM!D52,1),-0.3),""))</f>
        <v>0.01794541298</v>
      </c>
      <c r="E52" s="14">
        <f>if(TTM!E52="","",iferror(max(min(TTM!E52,1),-0.3),""))</f>
        <v>0.3324966988</v>
      </c>
      <c r="F52" s="14" t="str">
        <f>if(TTM!F52="","",iferror(max(min(TTM!F52,1),-0.3),""))</f>
        <v/>
      </c>
      <c r="G52" s="14" t="str">
        <f>if(TTM!G52="","",iferror(max(min(TTM!G52,1),-0.3),""))</f>
        <v/>
      </c>
      <c r="H52" s="14" t="str">
        <f>if(TTM!H52="","",iferror(max(min(TTM!H52,1),-0.3),""))</f>
        <v/>
      </c>
      <c r="I52" s="14" t="str">
        <f>if(TTM!I52="","",iferror(max(min(TTM!I52,1),-0.3),""))</f>
        <v/>
      </c>
      <c r="J52" s="14" t="str">
        <f>if(TTM!J52="","",iferror(max(min(TTM!J52,1),-0.3),""))</f>
        <v/>
      </c>
      <c r="K52" s="14" t="str">
        <f>if(TTM!K52="","",iferror(max(min(TTM!K52,1),-0.3),""))</f>
        <v/>
      </c>
      <c r="L52" s="14" t="str">
        <f>if(TTM!L52="","",iferror(max(min(TTM!L52,1),-0.3),""))</f>
        <v/>
      </c>
      <c r="M52" s="14" t="str">
        <f>if(TTM!M52="","",iferror(max(min(TTM!M52,1),-0.3),""))</f>
        <v/>
      </c>
      <c r="N52" s="14" t="str">
        <f>if(TTM!N52="","",iferror(max(min(TTM!N52,1),-0.3),""))</f>
        <v/>
      </c>
      <c r="O52" s="14">
        <f>if(TTM!O52="","",iferror(max(min(TTM!O52,1),-0.3),""))</f>
        <v>0.01558911853</v>
      </c>
      <c r="P52" s="14" t="str">
        <f>if(TTM!P52="","",iferror(max(min(TTM!P52,1),-0.3),""))</f>
        <v/>
      </c>
      <c r="Q52" s="14" t="str">
        <f>if(TTM!Q52="","",iferror(max(min(TTM!Q52,1),-0.3),""))</f>
        <v/>
      </c>
      <c r="R52" s="14"/>
      <c r="S52" s="14" t="str">
        <f>if(TTM!S52="","",iferror(max(min(TTM!S52,1),-0.3),""))</f>
        <v/>
      </c>
      <c r="T52" s="14" t="str">
        <f>if(TTM!T52="","",iferror(max(min(TTM!T52,1),-0.3),""))</f>
        <v/>
      </c>
      <c r="U52" s="14" t="str">
        <f>if(TTM!U52="","",iferror(max(min(TTM!U52,1),-0.3),""))</f>
        <v/>
      </c>
      <c r="V52" s="14">
        <f>if(TTM!V52="","",iferror(max(min(TTM!V52,1),-0.3),""))</f>
        <v>-0.06945927502</v>
      </c>
      <c r="W52" s="14" t="str">
        <f>if(TTM!W52="","",iferror(max(min(TTM!W52,1),-0.3),""))</f>
        <v/>
      </c>
      <c r="X52" s="14">
        <f>if(TTM!X52="","",iferror(max(min(TTM!X52,1),-0.3),""))</f>
        <v>-0.02119996915</v>
      </c>
      <c r="Y52" s="14" t="str">
        <f>if(TTM!Y52="","",iferror(max(min(TTM!Y52,1),-0.3),""))</f>
        <v/>
      </c>
      <c r="Z52" s="14" t="str">
        <f>if(TTM!Z52="","",iferror(max(min(TTM!Z52,1),-0.3),""))</f>
        <v/>
      </c>
      <c r="AA52" s="14" t="str">
        <f>if(TTM!AA52="","",iferror(max(min(TTM!AA52,1),-0.3),""))</f>
        <v/>
      </c>
      <c r="AB52" s="14" t="str">
        <f>if(TTM!AB52="","",iferror(max(min(TTM!AB52,1),-0.3),""))</f>
        <v/>
      </c>
      <c r="AC52" s="14" t="str">
        <f>if(TTM!AC52="","",iferror(max(min(TTM!AC52,1),-0.3),""))</f>
        <v/>
      </c>
      <c r="AD52" s="12"/>
    </row>
    <row r="53">
      <c r="A53" s="15" t="s">
        <v>80</v>
      </c>
      <c r="B53" s="14" t="str">
        <f>if(TTM!B53="","",iferror(max(min(TTM!B53,1),-0.3),""))</f>
        <v/>
      </c>
      <c r="C53" s="14">
        <f>if(TTM!C53="","",iferror(max(min(TTM!C53,1),-0.3),""))</f>
        <v>0.2647444268</v>
      </c>
      <c r="D53" s="14">
        <f>if(TTM!D53="","",iferror(max(min(TTM!D53,1),-0.3),""))</f>
        <v>-0.02404757636</v>
      </c>
      <c r="E53" s="14">
        <f>if(TTM!E53="","",iferror(max(min(TTM!E53,1),-0.3),""))</f>
        <v>0.3333900885</v>
      </c>
      <c r="F53" s="14" t="str">
        <f>if(TTM!F53="","",iferror(max(min(TTM!F53,1),-0.3),""))</f>
        <v/>
      </c>
      <c r="G53" s="14" t="str">
        <f>if(TTM!G53="","",iferror(max(min(TTM!G53,1),-0.3),""))</f>
        <v/>
      </c>
      <c r="H53" s="14" t="str">
        <f>if(TTM!H53="","",iferror(max(min(TTM!H53,1),-0.3),""))</f>
        <v/>
      </c>
      <c r="I53" s="14" t="str">
        <f>if(TTM!I53="","",iferror(max(min(TTM!I53,1),-0.3),""))</f>
        <v/>
      </c>
      <c r="J53" s="14" t="str">
        <f>if(TTM!J53="","",iferror(max(min(TTM!J53,1),-0.3),""))</f>
        <v/>
      </c>
      <c r="K53" s="14" t="str">
        <f>if(TTM!K53="","",iferror(max(min(TTM!K53,1),-0.3),""))</f>
        <v/>
      </c>
      <c r="L53" s="14" t="str">
        <f>if(TTM!L53="","",iferror(max(min(TTM!L53,1),-0.3),""))</f>
        <v/>
      </c>
      <c r="M53" s="14" t="str">
        <f>if(TTM!M53="","",iferror(max(min(TTM!M53,1),-0.3),""))</f>
        <v/>
      </c>
      <c r="N53" s="14" t="str">
        <f>if(TTM!N53="","",iferror(max(min(TTM!N53,1),-0.3),""))</f>
        <v/>
      </c>
      <c r="O53" s="14">
        <f>if(TTM!O53="","",iferror(max(min(TTM!O53,1),-0.3),""))</f>
        <v>0.1057910692</v>
      </c>
      <c r="P53" s="14" t="str">
        <f>if(TTM!P53="","",iferror(max(min(TTM!P53,1),-0.3),""))</f>
        <v/>
      </c>
      <c r="Q53" s="14" t="str">
        <f>if(TTM!Q53="","",iferror(max(min(TTM!Q53,1),-0.3),""))</f>
        <v/>
      </c>
      <c r="R53" s="14"/>
      <c r="S53" s="14" t="str">
        <f>if(TTM!S53="","",iferror(max(min(TTM!S53,1),-0.3),""))</f>
        <v/>
      </c>
      <c r="T53" s="14" t="str">
        <f>if(TTM!T53="","",iferror(max(min(TTM!T53,1),-0.3),""))</f>
        <v/>
      </c>
      <c r="U53" s="14" t="str">
        <f>if(TTM!U53="","",iferror(max(min(TTM!U53,1),-0.3),""))</f>
        <v/>
      </c>
      <c r="V53" s="14">
        <f>if(TTM!V53="","",iferror(max(min(TTM!V53,1),-0.3),""))</f>
        <v>-0.1105917065</v>
      </c>
      <c r="W53" s="14" t="str">
        <f>if(TTM!W53="","",iferror(max(min(TTM!W53,1),-0.3),""))</f>
        <v/>
      </c>
      <c r="X53" s="14">
        <f>if(TTM!X53="","",iferror(max(min(TTM!X53,1),-0.3),""))</f>
        <v>0.01087291478</v>
      </c>
      <c r="Y53" s="14" t="str">
        <f>if(TTM!Y53="","",iferror(max(min(TTM!Y53,1),-0.3),""))</f>
        <v/>
      </c>
      <c r="Z53" s="14" t="str">
        <f>if(TTM!Z53="","",iferror(max(min(TTM!Z53,1),-0.3),""))</f>
        <v/>
      </c>
      <c r="AA53" s="14" t="str">
        <f>if(TTM!AA53="","",iferror(max(min(TTM!AA53,1),-0.3),""))</f>
        <v/>
      </c>
      <c r="AB53" s="14" t="str">
        <f>if(TTM!AB53="","",iferror(max(min(TTM!AB53,1),-0.3),""))</f>
        <v/>
      </c>
      <c r="AC53" s="14" t="str">
        <f>if(TTM!AC53="","",iferror(max(min(TTM!AC53,1),-0.3),""))</f>
        <v/>
      </c>
      <c r="AD53" s="12"/>
    </row>
    <row r="54">
      <c r="A54" s="15" t="s">
        <v>81</v>
      </c>
      <c r="B54" s="14" t="str">
        <f>if(TTM!B54="","",iferror(max(min(TTM!B54,1),-0.3),""))</f>
        <v/>
      </c>
      <c r="C54" s="14">
        <f>if(TTM!C54="","",iferror(max(min(TTM!C54,1),-0.3),""))</f>
        <v>0.2405584447</v>
      </c>
      <c r="D54" s="14">
        <f>if(TTM!D54="","",iferror(max(min(TTM!D54,1),-0.3),""))</f>
        <v>-0.0660405657</v>
      </c>
      <c r="E54" s="14">
        <f>if(TTM!E54="","",iferror(max(min(TTM!E54,1),-0.3),""))</f>
        <v>0.3342834782</v>
      </c>
      <c r="F54" s="14" t="str">
        <f>if(TTM!F54="","",iferror(max(min(TTM!F54,1),-0.3),""))</f>
        <v/>
      </c>
      <c r="G54" s="14" t="str">
        <f>if(TTM!G54="","",iferror(max(min(TTM!G54,1),-0.3),""))</f>
        <v/>
      </c>
      <c r="H54" s="14" t="str">
        <f>if(TTM!H54="","",iferror(max(min(TTM!H54,1),-0.3),""))</f>
        <v/>
      </c>
      <c r="I54" s="14" t="str">
        <f>if(TTM!I54="","",iferror(max(min(TTM!I54,1),-0.3),""))</f>
        <v/>
      </c>
      <c r="J54" s="14" t="str">
        <f>if(TTM!J54="","",iferror(max(min(TTM!J54,1),-0.3),""))</f>
        <v/>
      </c>
      <c r="K54" s="14" t="str">
        <f>if(TTM!K54="","",iferror(max(min(TTM!K54,1),-0.3),""))</f>
        <v/>
      </c>
      <c r="L54" s="14" t="str">
        <f>if(TTM!L54="","",iferror(max(min(TTM!L54,1),-0.3),""))</f>
        <v/>
      </c>
      <c r="M54" s="14" t="str">
        <f>if(TTM!M54="","",iferror(max(min(TTM!M54,1),-0.3),""))</f>
        <v/>
      </c>
      <c r="N54" s="14" t="str">
        <f>if(TTM!N54="","",iferror(max(min(TTM!N54,1),-0.3),""))</f>
        <v/>
      </c>
      <c r="O54" s="14">
        <f>if(TTM!O54="","",iferror(max(min(TTM!O54,1),-0.3),""))</f>
        <v>0.1959930199</v>
      </c>
      <c r="P54" s="14" t="str">
        <f>if(TTM!P54="","",iferror(max(min(TTM!P54,1),-0.3),""))</f>
        <v/>
      </c>
      <c r="Q54" s="14" t="str">
        <f>if(TTM!Q54="","",iferror(max(min(TTM!Q54,1),-0.3),""))</f>
        <v/>
      </c>
      <c r="R54" s="14"/>
      <c r="S54" s="14" t="str">
        <f>if(TTM!S54="","",iferror(max(min(TTM!S54,1),-0.3),""))</f>
        <v/>
      </c>
      <c r="T54" s="14" t="str">
        <f>if(TTM!T54="","",iferror(max(min(TTM!T54,1),-0.3),""))</f>
        <v/>
      </c>
      <c r="U54" s="14" t="str">
        <f>if(TTM!U54="","",iferror(max(min(TTM!U54,1),-0.3),""))</f>
        <v/>
      </c>
      <c r="V54" s="14">
        <f>if(TTM!V54="","",iferror(max(min(TTM!V54,1),-0.3),""))</f>
        <v>-0.1517241379</v>
      </c>
      <c r="W54" s="14" t="str">
        <f>if(TTM!W54="","",iferror(max(min(TTM!W54,1),-0.3),""))</f>
        <v/>
      </c>
      <c r="X54" s="14">
        <f>if(TTM!X54="","",iferror(max(min(TTM!X54,1),-0.3),""))</f>
        <v>0.04294579871</v>
      </c>
      <c r="Y54" s="14" t="str">
        <f>if(TTM!Y54="","",iferror(max(min(TTM!Y54,1),-0.3),""))</f>
        <v/>
      </c>
      <c r="Z54" s="14" t="str">
        <f>if(TTM!Z54="","",iferror(max(min(TTM!Z54,1),-0.3),""))</f>
        <v/>
      </c>
      <c r="AA54" s="14" t="str">
        <f>if(TTM!AA54="","",iferror(max(min(TTM!AA54,1),-0.3),""))</f>
        <v/>
      </c>
      <c r="AB54" s="14" t="str">
        <f>if(TTM!AB54="","",iferror(max(min(TTM!AB54,1),-0.3),""))</f>
        <v/>
      </c>
      <c r="AC54" s="14" t="str">
        <f>if(TTM!AC54="","",iferror(max(min(TTM!AC54,1),-0.3),""))</f>
        <v/>
      </c>
      <c r="AD54" s="12"/>
    </row>
    <row r="55">
      <c r="A55" s="15" t="s">
        <v>82</v>
      </c>
      <c r="B55" s="14" t="str">
        <f>if(TTM!B55="","",iferror(max(min(TTM!B55,1),-0.3),""))</f>
        <v/>
      </c>
      <c r="C55" s="14">
        <f>if(TTM!C55="","",iferror(max(min(TTM!C55,1),-0.3),""))</f>
        <v>0.2602547295</v>
      </c>
      <c r="D55" s="14">
        <f>if(TTM!D55="","",iferror(max(min(TTM!D55,1),-0.3),""))</f>
        <v>-0.02304586384</v>
      </c>
      <c r="E55" s="14">
        <f>if(TTM!E55="","",iferror(max(min(TTM!E55,1),-0.3),""))</f>
        <v>0.3756497026</v>
      </c>
      <c r="F55" s="14" t="str">
        <f>if(TTM!F55="","",iferror(max(min(TTM!F55,1),-0.3),""))</f>
        <v/>
      </c>
      <c r="G55" s="14" t="str">
        <f>if(TTM!G55="","",iferror(max(min(TTM!G55,1),-0.3),""))</f>
        <v/>
      </c>
      <c r="H55" s="14" t="str">
        <f>if(TTM!H55="","",iferror(max(min(TTM!H55,1),-0.3),""))</f>
        <v/>
      </c>
      <c r="I55" s="14" t="str">
        <f>if(TTM!I55="","",iferror(max(min(TTM!I55,1),-0.3),""))</f>
        <v/>
      </c>
      <c r="J55" s="14">
        <f>if(TTM!J55="","",iferror(max(min(TTM!J55,1),-0.3),""))</f>
        <v>0.2189286965</v>
      </c>
      <c r="K55" s="14" t="str">
        <f>if(TTM!K55="","",iferror(max(min(TTM!K55,1),-0.3),""))</f>
        <v/>
      </c>
      <c r="L55" s="14">
        <f>if(TTM!L55="","",iferror(max(min(TTM!L55,1),-0.3),""))</f>
        <v>0.3988971073</v>
      </c>
      <c r="M55" s="14" t="str">
        <f>if(TTM!M55="","",iferror(max(min(TTM!M55,1),-0.3),""))</f>
        <v/>
      </c>
      <c r="N55" s="14" t="str">
        <f>if(TTM!N55="","",iferror(max(min(TTM!N55,1),-0.3),""))</f>
        <v/>
      </c>
      <c r="O55" s="14">
        <f>if(TTM!O55="","",iferror(max(min(TTM!O55,1),-0.3),""))</f>
        <v>0.2861949706</v>
      </c>
      <c r="P55" s="14" t="str">
        <f>if(TTM!P55="","",iferror(max(min(TTM!P55,1),-0.3),""))</f>
        <v/>
      </c>
      <c r="Q55" s="14" t="str">
        <f>if(TTM!Q55="","",iferror(max(min(TTM!Q55,1),-0.3),""))</f>
        <v/>
      </c>
      <c r="R55" s="14"/>
      <c r="S55" s="14" t="str">
        <f>if(TTM!S55="","",iferror(max(min(TTM!S55,1),-0.3),""))</f>
        <v/>
      </c>
      <c r="T55" s="14" t="str">
        <f>if(TTM!T55="","",iferror(max(min(TTM!T55,1),-0.3),""))</f>
        <v/>
      </c>
      <c r="U55" s="14" t="str">
        <f>if(TTM!U55="","",iferror(max(min(TTM!U55,1),-0.3),""))</f>
        <v/>
      </c>
      <c r="V55" s="14">
        <f>if(TTM!V55="","",iferror(max(min(TTM!V55,1),-0.3),""))</f>
        <v>-0.1071918162</v>
      </c>
      <c r="W55" s="14" t="str">
        <f>if(TTM!W55="","",iferror(max(min(TTM!W55,1),-0.3),""))</f>
        <v/>
      </c>
      <c r="X55" s="14">
        <f>if(TTM!X55="","",iferror(max(min(TTM!X55,1),-0.3),""))</f>
        <v>0.07501868264</v>
      </c>
      <c r="Y55" s="14" t="str">
        <f>if(TTM!Y55="","",iferror(max(min(TTM!Y55,1),-0.3),""))</f>
        <v/>
      </c>
      <c r="Z55" s="14" t="str">
        <f>if(TTM!Z55="","",iferror(max(min(TTM!Z55,1),-0.3),""))</f>
        <v/>
      </c>
      <c r="AA55" s="14" t="str">
        <f>if(TTM!AA55="","",iferror(max(min(TTM!AA55,1),-0.3),""))</f>
        <v/>
      </c>
      <c r="AB55" s="14" t="str">
        <f>if(TTM!AB55="","",iferror(max(min(TTM!AB55,1),-0.3),""))</f>
        <v/>
      </c>
      <c r="AC55" s="14" t="str">
        <f>if(TTM!AC55="","",iferror(max(min(TTM!AC55,1),-0.3),""))</f>
        <v/>
      </c>
      <c r="AD55" s="12"/>
    </row>
    <row r="56">
      <c r="A56" s="15" t="s">
        <v>83</v>
      </c>
      <c r="B56" s="14" t="str">
        <f>if(TTM!B56="","",iferror(max(min(TTM!B56,1),-0.3),""))</f>
        <v/>
      </c>
      <c r="C56" s="14">
        <f>if(TTM!C56="","",iferror(max(min(TTM!C56,1),-0.3),""))</f>
        <v>0.2799510143</v>
      </c>
      <c r="D56" s="14">
        <f>if(TTM!D56="","",iferror(max(min(TTM!D56,1),-0.3),""))</f>
        <v>0.01994883803</v>
      </c>
      <c r="E56" s="14">
        <f>if(TTM!E56="","",iferror(max(min(TTM!E56,1),-0.3),""))</f>
        <v>0.4170159271</v>
      </c>
      <c r="F56" s="14" t="str">
        <f>if(TTM!F56="","",iferror(max(min(TTM!F56,1),-0.3),""))</f>
        <v/>
      </c>
      <c r="G56" s="14" t="str">
        <f>if(TTM!G56="","",iferror(max(min(TTM!G56,1),-0.3),""))</f>
        <v/>
      </c>
      <c r="H56" s="14" t="str">
        <f>if(TTM!H56="","",iferror(max(min(TTM!H56,1),-0.3),""))</f>
        <v/>
      </c>
      <c r="I56" s="14" t="str">
        <f>if(TTM!I56="","",iferror(max(min(TTM!I56,1),-0.3),""))</f>
        <v/>
      </c>
      <c r="J56" s="14">
        <f>if(TTM!J56="","",iferror(max(min(TTM!J56,1),-0.3),""))</f>
        <v>0.2873445597</v>
      </c>
      <c r="K56" s="14" t="str">
        <f>if(TTM!K56="","",iferror(max(min(TTM!K56,1),-0.3),""))</f>
        <v/>
      </c>
      <c r="L56" s="14">
        <f>if(TTM!L56="","",iferror(max(min(TTM!L56,1),-0.3),""))</f>
        <v>0.3988971073</v>
      </c>
      <c r="M56" s="14" t="str">
        <f>if(TTM!M56="","",iferror(max(min(TTM!M56,1),-0.3),""))</f>
        <v/>
      </c>
      <c r="N56" s="14" t="str">
        <f>if(TTM!N56="","",iferror(max(min(TTM!N56,1),-0.3),""))</f>
        <v/>
      </c>
      <c r="O56" s="14">
        <f>if(TTM!O56="","",iferror(max(min(TTM!O56,1),-0.3),""))</f>
        <v>0.3763969213</v>
      </c>
      <c r="P56" s="14" t="str">
        <f>if(TTM!P56="","",iferror(max(min(TTM!P56,1),-0.3),""))</f>
        <v/>
      </c>
      <c r="Q56" s="14" t="str">
        <f>if(TTM!Q56="","",iferror(max(min(TTM!Q56,1),-0.3),""))</f>
        <v/>
      </c>
      <c r="R56" s="14"/>
      <c r="S56" s="14" t="str">
        <f>if(TTM!S56="","",iferror(max(min(TTM!S56,1),-0.3),""))</f>
        <v/>
      </c>
      <c r="T56" s="14" t="str">
        <f>if(TTM!T56="","",iferror(max(min(TTM!T56,1),-0.3),""))</f>
        <v/>
      </c>
      <c r="U56" s="14" t="str">
        <f>if(TTM!U56="","",iferror(max(min(TTM!U56,1),-0.3),""))</f>
        <v/>
      </c>
      <c r="V56" s="14">
        <f>if(TTM!V56="","",iferror(max(min(TTM!V56,1),-0.3),""))</f>
        <v>-0.06265949444</v>
      </c>
      <c r="W56" s="14" t="str">
        <f>if(TTM!W56="","",iferror(max(min(TTM!W56,1),-0.3),""))</f>
        <v/>
      </c>
      <c r="X56" s="14">
        <f>if(TTM!X56="","",iferror(max(min(TTM!X56,1),-0.3),""))</f>
        <v>0.1070915666</v>
      </c>
      <c r="Y56" s="14" t="str">
        <f>if(TTM!Y56="","",iferror(max(min(TTM!Y56,1),-0.3),""))</f>
        <v/>
      </c>
      <c r="Z56" s="14" t="str">
        <f>if(TTM!Z56="","",iferror(max(min(TTM!Z56,1),-0.3),""))</f>
        <v/>
      </c>
      <c r="AA56" s="14" t="str">
        <f>if(TTM!AA56="","",iferror(max(min(TTM!AA56,1),-0.3),""))</f>
        <v/>
      </c>
      <c r="AB56" s="14" t="str">
        <f>if(TTM!AB56="","",iferror(max(min(TTM!AB56,1),-0.3),""))</f>
        <v/>
      </c>
      <c r="AC56" s="14" t="str">
        <f>if(TTM!AC56="","",iferror(max(min(TTM!AC56,1),-0.3),""))</f>
        <v/>
      </c>
      <c r="AD56" s="12"/>
    </row>
    <row r="57">
      <c r="A57" s="15" t="s">
        <v>84</v>
      </c>
      <c r="B57" s="14" t="str">
        <f>if(TTM!B57="","",iferror(max(min(TTM!B57,1),-0.3),""))</f>
        <v/>
      </c>
      <c r="C57" s="14">
        <f>if(TTM!C57="","",iferror(max(min(TTM!C57,1),-0.3),""))</f>
        <v>0.2996472991</v>
      </c>
      <c r="D57" s="14">
        <f>if(TTM!D57="","",iferror(max(min(TTM!D57,1),-0.3),""))</f>
        <v>0.06294353989</v>
      </c>
      <c r="E57" s="14">
        <f>if(TTM!E57="","",iferror(max(min(TTM!E57,1),-0.3),""))</f>
        <v>0.4583821516</v>
      </c>
      <c r="F57" s="14" t="str">
        <f>if(TTM!F57="","",iferror(max(min(TTM!F57,1),-0.3),""))</f>
        <v/>
      </c>
      <c r="G57" s="14" t="str">
        <f>if(TTM!G57="","",iferror(max(min(TTM!G57,1),-0.3),""))</f>
        <v/>
      </c>
      <c r="H57" s="14" t="str">
        <f>if(TTM!H57="","",iferror(max(min(TTM!H57,1),-0.3),""))</f>
        <v/>
      </c>
      <c r="I57" s="14" t="str">
        <f>if(TTM!I57="","",iferror(max(min(TTM!I57,1),-0.3),""))</f>
        <v/>
      </c>
      <c r="J57" s="14">
        <f>if(TTM!J57="","",iferror(max(min(TTM!J57,1),-0.3),""))</f>
        <v>0.3557604229</v>
      </c>
      <c r="K57" s="14" t="str">
        <f>if(TTM!K57="","",iferror(max(min(TTM!K57,1),-0.3),""))</f>
        <v/>
      </c>
      <c r="L57" s="14">
        <f>if(TTM!L57="","",iferror(max(min(TTM!L57,1),-0.3),""))</f>
        <v>0.3988971073</v>
      </c>
      <c r="M57" s="14" t="str">
        <f>if(TTM!M57="","",iferror(max(min(TTM!M57,1),-0.3),""))</f>
        <v/>
      </c>
      <c r="N57" s="14" t="str">
        <f>if(TTM!N57="","",iferror(max(min(TTM!N57,1),-0.3),""))</f>
        <v/>
      </c>
      <c r="O57" s="14">
        <f>if(TTM!O57="","",iferror(max(min(TTM!O57,1),-0.3),""))</f>
        <v>0.4016623642</v>
      </c>
      <c r="P57" s="14" t="str">
        <f>if(TTM!P57="","",iferror(max(min(TTM!P57,1),-0.3),""))</f>
        <v/>
      </c>
      <c r="Q57" s="14" t="str">
        <f>if(TTM!Q57="","",iferror(max(min(TTM!Q57,1),-0.3),""))</f>
        <v/>
      </c>
      <c r="R57" s="14"/>
      <c r="S57" s="14" t="str">
        <f>if(TTM!S57="","",iferror(max(min(TTM!S57,1),-0.3),""))</f>
        <v/>
      </c>
      <c r="T57" s="14" t="str">
        <f>if(TTM!T57="","",iferror(max(min(TTM!T57,1),-0.3),""))</f>
        <v/>
      </c>
      <c r="U57" s="14" t="str">
        <f>if(TTM!U57="","",iferror(max(min(TTM!U57,1),-0.3),""))</f>
        <v/>
      </c>
      <c r="V57" s="14">
        <f>if(TTM!V57="","",iferror(max(min(TTM!V57,1),-0.3),""))</f>
        <v>-0.01812717269</v>
      </c>
      <c r="W57" s="14" t="str">
        <f>if(TTM!W57="","",iferror(max(min(TTM!W57,1),-0.3),""))</f>
        <v/>
      </c>
      <c r="X57" s="14">
        <f>if(TTM!X57="","",iferror(max(min(TTM!X57,1),-0.3),""))</f>
        <v>0.1549070585</v>
      </c>
      <c r="Y57" s="14" t="str">
        <f>if(TTM!Y57="","",iferror(max(min(TTM!Y57,1),-0.3),""))</f>
        <v/>
      </c>
      <c r="Z57" s="14" t="str">
        <f>if(TTM!Z57="","",iferror(max(min(TTM!Z57,1),-0.3),""))</f>
        <v/>
      </c>
      <c r="AA57" s="14" t="str">
        <f>if(TTM!AA57="","",iferror(max(min(TTM!AA57,1),-0.3),""))</f>
        <v/>
      </c>
      <c r="AB57" s="14" t="str">
        <f>if(TTM!AB57="","",iferror(max(min(TTM!AB57,1),-0.3),""))</f>
        <v/>
      </c>
      <c r="AC57" s="14" t="str">
        <f>if(TTM!AC57="","",iferror(max(min(TTM!AC57,1),-0.3),""))</f>
        <v/>
      </c>
      <c r="AD57" s="12"/>
    </row>
    <row r="58">
      <c r="A58" s="15" t="s">
        <v>85</v>
      </c>
      <c r="B58" s="14" t="str">
        <f>if(TTM!B58="","",iferror(max(min(TTM!B58,1),-0.3),""))</f>
        <v/>
      </c>
      <c r="C58" s="14">
        <f>if(TTM!C58="","",iferror(max(min(TTM!C58,1),-0.3),""))</f>
        <v>0.3193435839</v>
      </c>
      <c r="D58" s="14">
        <f>if(TTM!D58="","",iferror(max(min(TTM!D58,1),-0.3),""))</f>
        <v>0.1059382418</v>
      </c>
      <c r="E58" s="14">
        <f>if(TTM!E58="","",iferror(max(min(TTM!E58,1),-0.3),""))</f>
        <v>0.4997483761</v>
      </c>
      <c r="F58" s="14" t="str">
        <f>if(TTM!F58="","",iferror(max(min(TTM!F58,1),-0.3),""))</f>
        <v/>
      </c>
      <c r="G58" s="14" t="str">
        <f>if(TTM!G58="","",iferror(max(min(TTM!G58,1),-0.3),""))</f>
        <v/>
      </c>
      <c r="H58" s="14" t="str">
        <f>if(TTM!H58="","",iferror(max(min(TTM!H58,1),-0.3),""))</f>
        <v/>
      </c>
      <c r="I58" s="14" t="str">
        <f>if(TTM!I58="","",iferror(max(min(TTM!I58,1),-0.3),""))</f>
        <v/>
      </c>
      <c r="J58" s="14">
        <f>if(TTM!J58="","",iferror(max(min(TTM!J58,1),-0.3),""))</f>
        <v>0.4241762861</v>
      </c>
      <c r="K58" s="14" t="str">
        <f>if(TTM!K58="","",iferror(max(min(TTM!K58,1),-0.3),""))</f>
        <v/>
      </c>
      <c r="L58" s="14">
        <f>if(TTM!L58="","",iferror(max(min(TTM!L58,1),-0.3),""))</f>
        <v>0.3988971073</v>
      </c>
      <c r="M58" s="14" t="str">
        <f>if(TTM!M58="","",iferror(max(min(TTM!M58,1),-0.3),""))</f>
        <v/>
      </c>
      <c r="N58" s="14" t="str">
        <f>if(TTM!N58="","",iferror(max(min(TTM!N58,1),-0.3),""))</f>
        <v/>
      </c>
      <c r="O58" s="14">
        <f>if(TTM!O58="","",iferror(max(min(TTM!O58,1),-0.3),""))</f>
        <v>0.426927807</v>
      </c>
      <c r="P58" s="14" t="str">
        <f>if(TTM!P58="","",iferror(max(min(TTM!P58,1),-0.3),""))</f>
        <v/>
      </c>
      <c r="Q58" s="14" t="str">
        <f>if(TTM!Q58="","",iferror(max(min(TTM!Q58,1),-0.3),""))</f>
        <v/>
      </c>
      <c r="R58" s="14"/>
      <c r="S58" s="14" t="str">
        <f>if(TTM!S58="","",iferror(max(min(TTM!S58,1),-0.3),""))</f>
        <v/>
      </c>
      <c r="T58" s="14" t="str">
        <f>if(TTM!T58="","",iferror(max(min(TTM!T58,1),-0.3),""))</f>
        <v/>
      </c>
      <c r="U58" s="14" t="str">
        <f>if(TTM!U58="","",iferror(max(min(TTM!U58,1),-0.3),""))</f>
        <v/>
      </c>
      <c r="V58" s="14">
        <f>if(TTM!V58="","",iferror(max(min(TTM!V58,1),-0.3),""))</f>
        <v>0.02640514905</v>
      </c>
      <c r="W58" s="14" t="str">
        <f>if(TTM!W58="","",iferror(max(min(TTM!W58,1),-0.3),""))</f>
        <v/>
      </c>
      <c r="X58" s="14">
        <f>if(TTM!X58="","",iferror(max(min(TTM!X58,1),-0.3),""))</f>
        <v>0.2027225505</v>
      </c>
      <c r="Y58" s="14" t="str">
        <f>if(TTM!Y58="","",iferror(max(min(TTM!Y58,1),-0.3),""))</f>
        <v/>
      </c>
      <c r="Z58" s="14" t="str">
        <f>if(TTM!Z58="","",iferror(max(min(TTM!Z58,1),-0.3),""))</f>
        <v/>
      </c>
      <c r="AA58" s="14" t="str">
        <f>if(TTM!AA58="","",iferror(max(min(TTM!AA58,1),-0.3),""))</f>
        <v/>
      </c>
      <c r="AB58" s="14" t="str">
        <f>if(TTM!AB58="","",iferror(max(min(TTM!AB58,1),-0.3),""))</f>
        <v/>
      </c>
      <c r="AC58" s="14" t="str">
        <f>if(TTM!AC58="","",iferror(max(min(TTM!AC58,1),-0.3),""))</f>
        <v/>
      </c>
      <c r="AD58" s="12"/>
    </row>
    <row r="59">
      <c r="A59" s="15" t="s">
        <v>86</v>
      </c>
      <c r="B59" s="14" t="str">
        <f>if(TTM!B59="","",iferror(max(min(TTM!B59,1),-0.3),""))</f>
        <v/>
      </c>
      <c r="C59" s="14">
        <f>if(TTM!C59="","",iferror(max(min(TTM!C59,1),-0.3),""))</f>
        <v>0.3424853323</v>
      </c>
      <c r="D59" s="14">
        <f>if(TTM!D59="","",iferror(max(min(TTM!D59,1),-0.3),""))</f>
        <v>0.113683461</v>
      </c>
      <c r="E59" s="14">
        <f>if(TTM!E59="","",iferror(max(min(TTM!E59,1),-0.3),""))</f>
        <v>0.4436105736</v>
      </c>
      <c r="F59" s="14">
        <f>if(TTM!F59="","",iferror(max(min(TTM!F59,1),-0.3),""))</f>
        <v>0.3609722741</v>
      </c>
      <c r="G59" s="14" t="str">
        <f>if(TTM!G59="","",iferror(max(min(TTM!G59,1),-0.3),""))</f>
        <v/>
      </c>
      <c r="H59" s="14" t="str">
        <f>if(TTM!H59="","",iferror(max(min(TTM!H59,1),-0.3),""))</f>
        <v/>
      </c>
      <c r="I59" s="14" t="str">
        <f>if(TTM!I59="","",iferror(max(min(TTM!I59,1),-0.3),""))</f>
        <v/>
      </c>
      <c r="J59" s="14">
        <f>if(TTM!J59="","",iferror(max(min(TTM!J59,1),-0.3),""))</f>
        <v>0.4925921494</v>
      </c>
      <c r="K59" s="14" t="str">
        <f>if(TTM!K59="","",iferror(max(min(TTM!K59,1),-0.3),""))</f>
        <v/>
      </c>
      <c r="L59" s="14">
        <f>if(TTM!L59="","",iferror(max(min(TTM!L59,1),-0.3),""))</f>
        <v>0.3245575154</v>
      </c>
      <c r="M59" s="14" t="str">
        <f>if(TTM!M59="","",iferror(max(min(TTM!M59,1),-0.3),""))</f>
        <v/>
      </c>
      <c r="N59" s="14" t="str">
        <f>if(TTM!N59="","",iferror(max(min(TTM!N59,1),-0.3),""))</f>
        <v/>
      </c>
      <c r="O59" s="14">
        <f>if(TTM!O59="","",iferror(max(min(TTM!O59,1),-0.3),""))</f>
        <v>0.4521932499</v>
      </c>
      <c r="P59" s="14" t="str">
        <f>if(TTM!P59="","",iferror(max(min(TTM!P59,1),-0.3),""))</f>
        <v/>
      </c>
      <c r="Q59" s="14" t="str">
        <f>if(TTM!Q59="","",iferror(max(min(TTM!Q59,1),-0.3),""))</f>
        <v/>
      </c>
      <c r="R59" s="14"/>
      <c r="S59" s="14" t="str">
        <f>if(TTM!S59="","",iferror(max(min(TTM!S59,1),-0.3),""))</f>
        <v/>
      </c>
      <c r="T59" s="14" t="str">
        <f>if(TTM!T59="","",iferror(max(min(TTM!T59,1),-0.3),""))</f>
        <v/>
      </c>
      <c r="U59" s="14" t="str">
        <f>if(TTM!U59="","",iferror(max(min(TTM!U59,1),-0.3),""))</f>
        <v/>
      </c>
      <c r="V59" s="14">
        <f>if(TTM!V59="","",iferror(max(min(TTM!V59,1),-0.3),""))</f>
        <v>0.0232138213</v>
      </c>
      <c r="W59" s="14" t="str">
        <f>if(TTM!W59="","",iferror(max(min(TTM!W59,1),-0.3),""))</f>
        <v/>
      </c>
      <c r="X59" s="14">
        <f>if(TTM!X59="","",iferror(max(min(TTM!X59,1),-0.3),""))</f>
        <v>0.2505380425</v>
      </c>
      <c r="Y59" s="14" t="str">
        <f>if(TTM!Y59="","",iferror(max(min(TTM!Y59,1),-0.3),""))</f>
        <v/>
      </c>
      <c r="Z59" s="14" t="str">
        <f>if(TTM!Z59="","",iferror(max(min(TTM!Z59,1),-0.3),""))</f>
        <v/>
      </c>
      <c r="AA59" s="14" t="str">
        <f>if(TTM!AA59="","",iferror(max(min(TTM!AA59,1),-0.3),""))</f>
        <v/>
      </c>
      <c r="AB59" s="14" t="str">
        <f>if(TTM!AB59="","",iferror(max(min(TTM!AB59,1),-0.3),""))</f>
        <v/>
      </c>
      <c r="AC59" s="14" t="str">
        <f>if(TTM!AC59="","",iferror(max(min(TTM!AC59,1),-0.3),""))</f>
        <v/>
      </c>
      <c r="AD59" s="12"/>
    </row>
    <row r="60">
      <c r="A60" s="15" t="s">
        <v>87</v>
      </c>
      <c r="B60" s="14" t="str">
        <f>if(TTM!B60="","",iferror(max(min(TTM!B60,1),-0.3),""))</f>
        <v/>
      </c>
      <c r="C60" s="14">
        <f>if(TTM!C60="","",iferror(max(min(TTM!C60,1),-0.3),""))</f>
        <v>0.3656270807</v>
      </c>
      <c r="D60" s="14">
        <f>if(TTM!D60="","",iferror(max(min(TTM!D60,1),-0.3),""))</f>
        <v>0.1214286803</v>
      </c>
      <c r="E60" s="14">
        <f>if(TTM!E60="","",iferror(max(min(TTM!E60,1),-0.3),""))</f>
        <v>0.3874727712</v>
      </c>
      <c r="F60" s="14">
        <f>if(TTM!F60="","",iferror(max(min(TTM!F60,1),-0.3),""))</f>
        <v>0.3454885953</v>
      </c>
      <c r="G60" s="14" t="str">
        <f>if(TTM!G60="","",iferror(max(min(TTM!G60,1),-0.3),""))</f>
        <v/>
      </c>
      <c r="H60" s="14" t="str">
        <f>if(TTM!H60="","",iferror(max(min(TTM!H60,1),-0.3),""))</f>
        <v/>
      </c>
      <c r="I60" s="14" t="str">
        <f>if(TTM!I60="","",iferror(max(min(TTM!I60,1),-0.3),""))</f>
        <v/>
      </c>
      <c r="J60" s="14">
        <f>if(TTM!J60="","",iferror(max(min(TTM!J60,1),-0.3),""))</f>
        <v>0.5135216932</v>
      </c>
      <c r="K60" s="14" t="str">
        <f>if(TTM!K60="","",iferror(max(min(TTM!K60,1),-0.3),""))</f>
        <v/>
      </c>
      <c r="L60" s="14">
        <f>if(TTM!L60="","",iferror(max(min(TTM!L60,1),-0.3),""))</f>
        <v>0.2502179236</v>
      </c>
      <c r="M60" s="14" t="str">
        <f>if(TTM!M60="","",iferror(max(min(TTM!M60,1),-0.3),""))</f>
        <v/>
      </c>
      <c r="N60" s="14" t="str">
        <f>if(TTM!N60="","",iferror(max(min(TTM!N60,1),-0.3),""))</f>
        <v/>
      </c>
      <c r="O60" s="14">
        <f>if(TTM!O60="","",iferror(max(min(TTM!O60,1),-0.3),""))</f>
        <v>0.4774586927</v>
      </c>
      <c r="P60" s="14" t="str">
        <f>if(TTM!P60="","",iferror(max(min(TTM!P60,1),-0.3),""))</f>
        <v/>
      </c>
      <c r="Q60" s="14" t="str">
        <f>if(TTM!Q60="","",iferror(max(min(TTM!Q60,1),-0.3),""))</f>
        <v/>
      </c>
      <c r="R60" s="14"/>
      <c r="S60" s="14" t="str">
        <f>if(TTM!S60="","",iferror(max(min(TTM!S60,1),-0.3),""))</f>
        <v/>
      </c>
      <c r="T60" s="14" t="str">
        <f>if(TTM!T60="","",iferror(max(min(TTM!T60,1),-0.3),""))</f>
        <v/>
      </c>
      <c r="U60" s="14" t="str">
        <f>if(TTM!U60="","",iferror(max(min(TTM!U60,1),-0.3),""))</f>
        <v/>
      </c>
      <c r="V60" s="14">
        <f>if(TTM!V60="","",iferror(max(min(TTM!V60,1),-0.3),""))</f>
        <v>0.02002249355</v>
      </c>
      <c r="W60" s="14" t="str">
        <f>if(TTM!W60="","",iferror(max(min(TTM!W60,1),-0.3),""))</f>
        <v/>
      </c>
      <c r="X60" s="14">
        <f>if(TTM!X60="","",iferror(max(min(TTM!X60,1),-0.3),""))</f>
        <v>0.2983535344</v>
      </c>
      <c r="Y60" s="14" t="str">
        <f>if(TTM!Y60="","",iferror(max(min(TTM!Y60,1),-0.3),""))</f>
        <v/>
      </c>
      <c r="Z60" s="14" t="str">
        <f>if(TTM!Z60="","",iferror(max(min(TTM!Z60,1),-0.3),""))</f>
        <v/>
      </c>
      <c r="AA60" s="14" t="str">
        <f>if(TTM!AA60="","",iferror(max(min(TTM!AA60,1),-0.3),""))</f>
        <v/>
      </c>
      <c r="AB60" s="14" t="str">
        <f>if(TTM!AB60="","",iferror(max(min(TTM!AB60,1),-0.3),""))</f>
        <v/>
      </c>
      <c r="AC60" s="14" t="str">
        <f>if(TTM!AC60="","",iferror(max(min(TTM!AC60,1),-0.3),""))</f>
        <v/>
      </c>
      <c r="AD60" s="12"/>
    </row>
    <row r="61">
      <c r="A61" s="15" t="s">
        <v>88</v>
      </c>
      <c r="B61" s="14" t="str">
        <f>if(TTM!B61="","",iferror(max(min(TTM!B61,1),-0.3),""))</f>
        <v/>
      </c>
      <c r="C61" s="14">
        <f>if(TTM!C61="","",iferror(max(min(TTM!C61,1),-0.3),""))</f>
        <v>0.3887688291</v>
      </c>
      <c r="D61" s="14">
        <f>if(TTM!D61="","",iferror(max(min(TTM!D61,1),-0.3),""))</f>
        <v>0.1291738995</v>
      </c>
      <c r="E61" s="14">
        <f>if(TTM!E61="","",iferror(max(min(TTM!E61,1),-0.3),""))</f>
        <v>0.3313349687</v>
      </c>
      <c r="F61" s="14">
        <f>if(TTM!F61="","",iferror(max(min(TTM!F61,1),-0.3),""))</f>
        <v>0.3300049164</v>
      </c>
      <c r="G61" s="14" t="str">
        <f>if(TTM!G61="","",iferror(max(min(TTM!G61,1),-0.3),""))</f>
        <v/>
      </c>
      <c r="H61" s="14" t="str">
        <f>if(TTM!H61="","",iferror(max(min(TTM!H61,1),-0.3),""))</f>
        <v/>
      </c>
      <c r="I61" s="14" t="str">
        <f>if(TTM!I61="","",iferror(max(min(TTM!I61,1),-0.3),""))</f>
        <v/>
      </c>
      <c r="J61" s="14">
        <f>if(TTM!J61="","",iferror(max(min(TTM!J61,1),-0.3),""))</f>
        <v>0.534451237</v>
      </c>
      <c r="K61" s="14" t="str">
        <f>if(TTM!K61="","",iferror(max(min(TTM!K61,1),-0.3),""))</f>
        <v/>
      </c>
      <c r="L61" s="14">
        <f>if(TTM!L61="","",iferror(max(min(TTM!L61,1),-0.3),""))</f>
        <v>0.1758783317</v>
      </c>
      <c r="M61" s="14" t="str">
        <f>if(TTM!M61="","",iferror(max(min(TTM!M61,1),-0.3),""))</f>
        <v/>
      </c>
      <c r="N61" s="14" t="str">
        <f>if(TTM!N61="","",iferror(max(min(TTM!N61,1),-0.3),""))</f>
        <v/>
      </c>
      <c r="O61" s="14">
        <f>if(TTM!O61="","",iferror(max(min(TTM!O61,1),-0.3),""))</f>
        <v>0.4222645708</v>
      </c>
      <c r="P61" s="14" t="str">
        <f>if(TTM!P61="","",iferror(max(min(TTM!P61,1),-0.3),""))</f>
        <v/>
      </c>
      <c r="Q61" s="14" t="str">
        <f>if(TTM!Q61="","",iferror(max(min(TTM!Q61,1),-0.3),""))</f>
        <v/>
      </c>
      <c r="R61" s="14"/>
      <c r="S61" s="14" t="str">
        <f>if(TTM!S61="","",iferror(max(min(TTM!S61,1),-0.3),""))</f>
        <v/>
      </c>
      <c r="T61" s="14" t="str">
        <f>if(TTM!T61="","",iferror(max(min(TTM!T61,1),-0.3),""))</f>
        <v/>
      </c>
      <c r="U61" s="14" t="str">
        <f>if(TTM!U61="","",iferror(max(min(TTM!U61,1),-0.3),""))</f>
        <v/>
      </c>
      <c r="V61" s="14">
        <f>if(TTM!V61="","",iferror(max(min(TTM!V61,1),-0.3),""))</f>
        <v>0.0168311658</v>
      </c>
      <c r="W61" s="14" t="str">
        <f>if(TTM!W61="","",iferror(max(min(TTM!W61,1),-0.3),""))</f>
        <v/>
      </c>
      <c r="X61" s="14">
        <f>if(TTM!X61="","",iferror(max(min(TTM!X61,1),-0.3),""))</f>
        <v>0.2326804052</v>
      </c>
      <c r="Y61" s="14" t="str">
        <f>if(TTM!Y61="","",iferror(max(min(TTM!Y61,1),-0.3),""))</f>
        <v/>
      </c>
      <c r="Z61" s="14" t="str">
        <f>if(TTM!Z61="","",iferror(max(min(TTM!Z61,1),-0.3),""))</f>
        <v/>
      </c>
      <c r="AA61" s="14" t="str">
        <f>if(TTM!AA61="","",iferror(max(min(TTM!AA61,1),-0.3),""))</f>
        <v/>
      </c>
      <c r="AB61" s="14" t="str">
        <f>if(TTM!AB61="","",iferror(max(min(TTM!AB61,1),-0.3),""))</f>
        <v/>
      </c>
      <c r="AC61" s="14" t="str">
        <f>if(TTM!AC61="","",iferror(max(min(TTM!AC61,1),-0.3),""))</f>
        <v/>
      </c>
      <c r="AD61" s="12"/>
    </row>
    <row r="62">
      <c r="A62" s="15" t="s">
        <v>89</v>
      </c>
      <c r="B62" s="14" t="str">
        <f>if(TTM!B62="","",iferror(max(min(TTM!B62,1),-0.3),""))</f>
        <v/>
      </c>
      <c r="C62" s="14">
        <f>if(TTM!C62="","",iferror(max(min(TTM!C62,1),-0.3),""))</f>
        <v>0.4119105775</v>
      </c>
      <c r="D62" s="14">
        <f>if(TTM!D62="","",iferror(max(min(TTM!D62,1),-0.3),""))</f>
        <v>0.1369191187</v>
      </c>
      <c r="E62" s="14">
        <f>if(TTM!E62="","",iferror(max(min(TTM!E62,1),-0.3),""))</f>
        <v>0.2751971662</v>
      </c>
      <c r="F62" s="14">
        <f>if(TTM!F62="","",iferror(max(min(TTM!F62,1),-0.3),""))</f>
        <v>0.3145212376</v>
      </c>
      <c r="G62" s="14" t="str">
        <f>if(TTM!G62="","",iferror(max(min(TTM!G62,1),-0.3),""))</f>
        <v/>
      </c>
      <c r="H62" s="14" t="str">
        <f>if(TTM!H62="","",iferror(max(min(TTM!H62,1),-0.3),""))</f>
        <v/>
      </c>
      <c r="I62" s="14" t="str">
        <f>if(TTM!I62="","",iferror(max(min(TTM!I62,1),-0.3),""))</f>
        <v/>
      </c>
      <c r="J62" s="14">
        <f>if(TTM!J62="","",iferror(max(min(TTM!J62,1),-0.3),""))</f>
        <v>0.5553807808</v>
      </c>
      <c r="K62" s="14" t="str">
        <f>if(TTM!K62="","",iferror(max(min(TTM!K62,1),-0.3),""))</f>
        <v/>
      </c>
      <c r="L62" s="14">
        <f>if(TTM!L62="","",iferror(max(min(TTM!L62,1),-0.3),""))</f>
        <v>0.1015387398</v>
      </c>
      <c r="M62" s="14" t="str">
        <f>if(TTM!M62="","",iferror(max(min(TTM!M62,1),-0.3),""))</f>
        <v/>
      </c>
      <c r="N62" s="14" t="str">
        <f>if(TTM!N62="","",iferror(max(min(TTM!N62,1),-0.3),""))</f>
        <v/>
      </c>
      <c r="O62" s="14">
        <f>if(TTM!O62="","",iferror(max(min(TTM!O62,1),-0.3),""))</f>
        <v>0.3670704489</v>
      </c>
      <c r="P62" s="14" t="str">
        <f>if(TTM!P62="","",iferror(max(min(TTM!P62,1),-0.3),""))</f>
        <v/>
      </c>
      <c r="Q62" s="14" t="str">
        <f>if(TTM!Q62="","",iferror(max(min(TTM!Q62,1),-0.3),""))</f>
        <v/>
      </c>
      <c r="R62" s="14"/>
      <c r="S62" s="14" t="str">
        <f>if(TTM!S62="","",iferror(max(min(TTM!S62,1),-0.3),""))</f>
        <v/>
      </c>
      <c r="T62" s="14" t="str">
        <f>if(TTM!T62="","",iferror(max(min(TTM!T62,1),-0.3),""))</f>
        <v/>
      </c>
      <c r="U62" s="14" t="str">
        <f>if(TTM!U62="","",iferror(max(min(TTM!U62,1),-0.3),""))</f>
        <v/>
      </c>
      <c r="V62" s="14">
        <f>if(TTM!V62="","",iferror(max(min(TTM!V62,1),-0.3),""))</f>
        <v>0.01363983804</v>
      </c>
      <c r="W62" s="14" t="str">
        <f>if(TTM!W62="","",iferror(max(min(TTM!W62,1),-0.3),""))</f>
        <v/>
      </c>
      <c r="X62" s="14">
        <f>if(TTM!X62="","",iferror(max(min(TTM!X62,1),-0.3),""))</f>
        <v>0.1670072759</v>
      </c>
      <c r="Y62" s="14" t="str">
        <f>if(TTM!Y62="","",iferror(max(min(TTM!Y62,1),-0.3),""))</f>
        <v/>
      </c>
      <c r="Z62" s="14" t="str">
        <f>if(TTM!Z62="","",iferror(max(min(TTM!Z62,1),-0.3),""))</f>
        <v/>
      </c>
      <c r="AA62" s="14" t="str">
        <f>if(TTM!AA62="","",iferror(max(min(TTM!AA62,1),-0.3),""))</f>
        <v/>
      </c>
      <c r="AB62" s="14" t="str">
        <f>if(TTM!AB62="","",iferror(max(min(TTM!AB62,1),-0.3),""))</f>
        <v/>
      </c>
      <c r="AC62" s="14" t="str">
        <f>if(TTM!AC62="","",iferror(max(min(TTM!AC62,1),-0.3),""))</f>
        <v/>
      </c>
      <c r="AD62" s="12"/>
    </row>
    <row r="63">
      <c r="A63" s="15" t="s">
        <v>90</v>
      </c>
      <c r="B63" s="14" t="str">
        <f>if(TTM!B63="","",iferror(max(min(TTM!B63,1),-0.3),""))</f>
        <v/>
      </c>
      <c r="C63" s="14">
        <f>if(TTM!C63="","",iferror(max(min(TTM!C63,1),-0.3),""))</f>
        <v>0.3608972963</v>
      </c>
      <c r="D63" s="14">
        <f>if(TTM!D63="","",iferror(max(min(TTM!D63,1),-0.3),""))</f>
        <v>0.1448273851</v>
      </c>
      <c r="E63" s="14">
        <f>if(TTM!E63="","",iferror(max(min(TTM!E63,1),-0.3),""))</f>
        <v>0.2534893984</v>
      </c>
      <c r="F63" s="14">
        <f>if(TTM!F63="","",iferror(max(min(TTM!F63,1),-0.3),""))</f>
        <v>0.2853118646</v>
      </c>
      <c r="G63" s="14" t="str">
        <f>if(TTM!G63="","",iferror(max(min(TTM!G63,1),-0.3),""))</f>
        <v/>
      </c>
      <c r="H63" s="14" t="str">
        <f>if(TTM!H63="","",iferror(max(min(TTM!H63,1),-0.3),""))</f>
        <v/>
      </c>
      <c r="I63" s="14" t="str">
        <f>if(TTM!I63="","",iferror(max(min(TTM!I63,1),-0.3),""))</f>
        <v/>
      </c>
      <c r="J63" s="14">
        <f>if(TTM!J63="","",iferror(max(min(TTM!J63,1),-0.3),""))</f>
        <v>0.5763103246</v>
      </c>
      <c r="K63" s="14" t="str">
        <f>if(TTM!K63="","",iferror(max(min(TTM!K63,1),-0.3),""))</f>
        <v/>
      </c>
      <c r="L63" s="14">
        <f>if(TTM!L63="","",iferror(max(min(TTM!L63,1),-0.3),""))</f>
        <v>0.1123749314</v>
      </c>
      <c r="M63" s="14" t="str">
        <f>if(TTM!M63="","",iferror(max(min(TTM!M63,1),-0.3),""))</f>
        <v/>
      </c>
      <c r="N63" s="14" t="str">
        <f>if(TTM!N63="","",iferror(max(min(TTM!N63,1),-0.3),""))</f>
        <v/>
      </c>
      <c r="O63" s="14">
        <f>if(TTM!O63="","",iferror(max(min(TTM!O63,1),-0.3),""))</f>
        <v>0.3118763269</v>
      </c>
      <c r="P63" s="14" t="str">
        <f>if(TTM!P63="","",iferror(max(min(TTM!P63,1),-0.3),""))</f>
        <v/>
      </c>
      <c r="Q63" s="14" t="str">
        <f>if(TTM!Q63="","",iferror(max(min(TTM!Q63,1),-0.3),""))</f>
        <v/>
      </c>
      <c r="R63" s="14"/>
      <c r="S63" s="14" t="str">
        <f>if(TTM!S63="","",iferror(max(min(TTM!S63,1),-0.3),""))</f>
        <v/>
      </c>
      <c r="T63" s="14" t="str">
        <f>if(TTM!T63="","",iferror(max(min(TTM!T63,1),-0.3),""))</f>
        <v/>
      </c>
      <c r="U63" s="14" t="str">
        <f>if(TTM!U63="","",iferror(max(min(TTM!U63,1),-0.3),""))</f>
        <v/>
      </c>
      <c r="V63" s="14">
        <f>if(TTM!V63="","",iferror(max(min(TTM!V63,1),-0.3),""))</f>
        <v>0.01380396305</v>
      </c>
      <c r="W63" s="14" t="str">
        <f>if(TTM!W63="","",iferror(max(min(TTM!W63,1),-0.3),""))</f>
        <v/>
      </c>
      <c r="X63" s="14">
        <f>if(TTM!X63="","",iferror(max(min(TTM!X63,1),-0.3),""))</f>
        <v>0.1013341467</v>
      </c>
      <c r="Y63" s="14" t="str">
        <f>if(TTM!Y63="","",iferror(max(min(TTM!Y63,1),-0.3),""))</f>
        <v/>
      </c>
      <c r="Z63" s="14" t="str">
        <f>if(TTM!Z63="","",iferror(max(min(TTM!Z63,1),-0.3),""))</f>
        <v/>
      </c>
      <c r="AA63" s="14" t="str">
        <f>if(TTM!AA63="","",iferror(max(min(TTM!AA63,1),-0.3),""))</f>
        <v/>
      </c>
      <c r="AB63" s="14" t="str">
        <f>if(TTM!AB63="","",iferror(max(min(TTM!AB63,1),-0.3),""))</f>
        <v/>
      </c>
      <c r="AC63" s="14" t="str">
        <f>if(TTM!AC63="","",iferror(max(min(TTM!AC63,1),-0.3),""))</f>
        <v/>
      </c>
      <c r="AD63" s="12"/>
    </row>
    <row r="64">
      <c r="A64" s="15" t="s">
        <v>91</v>
      </c>
      <c r="B64" s="14" t="str">
        <f>if(TTM!B64="","",iferror(max(min(TTM!B64,1),-0.3),""))</f>
        <v/>
      </c>
      <c r="C64" s="14">
        <f>if(TTM!C64="","",iferror(max(min(TTM!C64,1),-0.3),""))</f>
        <v>0.3098840151</v>
      </c>
      <c r="D64" s="14">
        <f>if(TTM!D64="","",iferror(max(min(TTM!D64,1),-0.3),""))</f>
        <v>0.1527356514</v>
      </c>
      <c r="E64" s="14">
        <f>if(TTM!E64="","",iferror(max(min(TTM!E64,1),-0.3),""))</f>
        <v>0.2317816307</v>
      </c>
      <c r="F64" s="14">
        <f>if(TTM!F64="","",iferror(max(min(TTM!F64,1),-0.3),""))</f>
        <v>0.2561024916</v>
      </c>
      <c r="G64" s="14" t="str">
        <f>if(TTM!G64="","",iferror(max(min(TTM!G64,1),-0.3),""))</f>
        <v/>
      </c>
      <c r="H64" s="14" t="str">
        <f>if(TTM!H64="","",iferror(max(min(TTM!H64,1),-0.3),""))</f>
        <v/>
      </c>
      <c r="I64" s="14" t="str">
        <f>if(TTM!I64="","",iferror(max(min(TTM!I64,1),-0.3),""))</f>
        <v/>
      </c>
      <c r="J64" s="14">
        <f>if(TTM!J64="","",iferror(max(min(TTM!J64,1),-0.3),""))</f>
        <v>0.4732082825</v>
      </c>
      <c r="K64" s="14" t="str">
        <f>if(TTM!K64="","",iferror(max(min(TTM!K64,1),-0.3),""))</f>
        <v/>
      </c>
      <c r="L64" s="14">
        <f>if(TTM!L64="","",iferror(max(min(TTM!L64,1),-0.3),""))</f>
        <v>0.123211123</v>
      </c>
      <c r="M64" s="14" t="str">
        <f>if(TTM!M64="","",iferror(max(min(TTM!M64,1),-0.3),""))</f>
        <v/>
      </c>
      <c r="N64" s="14" t="str">
        <f>if(TTM!N64="","",iferror(max(min(TTM!N64,1),-0.3),""))</f>
        <v/>
      </c>
      <c r="O64" s="14">
        <f>if(TTM!O64="","",iferror(max(min(TTM!O64,1),-0.3),""))</f>
        <v>0.256682205</v>
      </c>
      <c r="P64" s="14" t="str">
        <f>if(TTM!P64="","",iferror(max(min(TTM!P64,1),-0.3),""))</f>
        <v/>
      </c>
      <c r="Q64" s="14" t="str">
        <f>if(TTM!Q64="","",iferror(max(min(TTM!Q64,1),-0.3),""))</f>
        <v/>
      </c>
      <c r="R64" s="14"/>
      <c r="S64" s="14" t="str">
        <f>if(TTM!S64="","",iferror(max(min(TTM!S64,1),-0.3),""))</f>
        <v/>
      </c>
      <c r="T64" s="14" t="str">
        <f>if(TTM!T64="","",iferror(max(min(TTM!T64,1),-0.3),""))</f>
        <v/>
      </c>
      <c r="U64" s="14" t="str">
        <f>if(TTM!U64="","",iferror(max(min(TTM!U64,1),-0.3),""))</f>
        <v/>
      </c>
      <c r="V64" s="14">
        <f>if(TTM!V64="","",iferror(max(min(TTM!V64,1),-0.3),""))</f>
        <v>0.01396808806</v>
      </c>
      <c r="W64" s="14" t="str">
        <f>if(TTM!W64="","",iferror(max(min(TTM!W64,1),-0.3),""))</f>
        <v/>
      </c>
      <c r="X64" s="14">
        <f>if(TTM!X64="","",iferror(max(min(TTM!X64,1),-0.3),""))</f>
        <v>0.03566101744</v>
      </c>
      <c r="Y64" s="14" t="str">
        <f>if(TTM!Y64="","",iferror(max(min(TTM!Y64,1),-0.3),""))</f>
        <v/>
      </c>
      <c r="Z64" s="14" t="str">
        <f>if(TTM!Z64="","",iferror(max(min(TTM!Z64,1),-0.3),""))</f>
        <v/>
      </c>
      <c r="AA64" s="14" t="str">
        <f>if(TTM!AA64="","",iferror(max(min(TTM!AA64,1),-0.3),""))</f>
        <v/>
      </c>
      <c r="AB64" s="14" t="str">
        <f>if(TTM!AB64="","",iferror(max(min(TTM!AB64,1),-0.3),""))</f>
        <v/>
      </c>
      <c r="AC64" s="14" t="str">
        <f>if(TTM!AC64="","",iferror(max(min(TTM!AC64,1),-0.3),""))</f>
        <v/>
      </c>
      <c r="AD64" s="12"/>
    </row>
    <row r="65">
      <c r="A65" s="15" t="s">
        <v>92</v>
      </c>
      <c r="B65" s="14" t="str">
        <f>if(TTM!B65="","",iferror(max(min(TTM!B65,1),-0.3),""))</f>
        <v/>
      </c>
      <c r="C65" s="14">
        <f>if(TTM!C65="","",iferror(max(min(TTM!C65,1),-0.3),""))</f>
        <v>0.258870734</v>
      </c>
      <c r="D65" s="14">
        <f>if(TTM!D65="","",iferror(max(min(TTM!D65,1),-0.3),""))</f>
        <v>0.1606439178</v>
      </c>
      <c r="E65" s="14">
        <f>if(TTM!E65="","",iferror(max(min(TTM!E65,1),-0.3),""))</f>
        <v>0.2100738629</v>
      </c>
      <c r="F65" s="14">
        <f>if(TTM!F65="","",iferror(max(min(TTM!F65,1),-0.3),""))</f>
        <v>0.2268931186</v>
      </c>
      <c r="G65" s="14" t="str">
        <f>if(TTM!G65="","",iferror(max(min(TTM!G65,1),-0.3),""))</f>
        <v/>
      </c>
      <c r="H65" s="14" t="str">
        <f>if(TTM!H65="","",iferror(max(min(TTM!H65,1),-0.3),""))</f>
        <v/>
      </c>
      <c r="I65" s="14" t="str">
        <f>if(TTM!I65="","",iferror(max(min(TTM!I65,1),-0.3),""))</f>
        <v/>
      </c>
      <c r="J65" s="14">
        <f>if(TTM!J65="","",iferror(max(min(TTM!J65,1),-0.3),""))</f>
        <v>0.3701062404</v>
      </c>
      <c r="K65" s="14" t="str">
        <f>if(TTM!K65="","",iferror(max(min(TTM!K65,1),-0.3),""))</f>
        <v/>
      </c>
      <c r="L65" s="14">
        <f>if(TTM!L65="","",iferror(max(min(TTM!L65,1),-0.3),""))</f>
        <v>0.1340473145</v>
      </c>
      <c r="M65" s="14" t="str">
        <f>if(TTM!M65="","",iferror(max(min(TTM!M65,1),-0.3),""))</f>
        <v/>
      </c>
      <c r="N65" s="14" t="str">
        <f>if(TTM!N65="","",iferror(max(min(TTM!N65,1),-0.3),""))</f>
        <v/>
      </c>
      <c r="O65" s="14">
        <f>if(TTM!O65="","",iferror(max(min(TTM!O65,1),-0.3),""))</f>
        <v>0.2365094418</v>
      </c>
      <c r="P65" s="14" t="str">
        <f>if(TTM!P65="","",iferror(max(min(TTM!P65,1),-0.3),""))</f>
        <v/>
      </c>
      <c r="Q65" s="14" t="str">
        <f>if(TTM!Q65="","",iferror(max(min(TTM!Q65,1),-0.3),""))</f>
        <v/>
      </c>
      <c r="R65" s="14"/>
      <c r="S65" s="14" t="str">
        <f>if(TTM!S65="","",iferror(max(min(TTM!S65,1),-0.3),""))</f>
        <v/>
      </c>
      <c r="T65" s="14" t="str">
        <f>if(TTM!T65="","",iferror(max(min(TTM!T65,1),-0.3),""))</f>
        <v/>
      </c>
      <c r="U65" s="14" t="str">
        <f>if(TTM!U65="","",iferror(max(min(TTM!U65,1),-0.3),""))</f>
        <v/>
      </c>
      <c r="V65" s="14">
        <f>if(TTM!V65="","",iferror(max(min(TTM!V65,1),-0.3),""))</f>
        <v>0.01413221306</v>
      </c>
      <c r="W65" s="14" t="str">
        <f>if(TTM!W65="","",iferror(max(min(TTM!W65,1),-0.3),""))</f>
        <v/>
      </c>
      <c r="X65" s="14">
        <f>if(TTM!X65="","",iferror(max(min(TTM!X65,1),-0.3),""))</f>
        <v>-0.0002801374404</v>
      </c>
      <c r="Y65" s="14" t="str">
        <f>if(TTM!Y65="","",iferror(max(min(TTM!Y65,1),-0.3),""))</f>
        <v/>
      </c>
      <c r="Z65" s="14" t="str">
        <f>if(TTM!Z65="","",iferror(max(min(TTM!Z65,1),-0.3),""))</f>
        <v/>
      </c>
      <c r="AA65" s="14" t="str">
        <f>if(TTM!AA65="","",iferror(max(min(TTM!AA65,1),-0.3),""))</f>
        <v/>
      </c>
      <c r="AB65" s="14" t="str">
        <f>if(TTM!AB65="","",iferror(max(min(TTM!AB65,1),-0.3),""))</f>
        <v/>
      </c>
      <c r="AC65" s="14" t="str">
        <f>if(TTM!AC65="","",iferror(max(min(TTM!AC65,1),-0.3),""))</f>
        <v/>
      </c>
      <c r="AD65" s="12"/>
    </row>
    <row r="66">
      <c r="A66" s="15" t="s">
        <v>93</v>
      </c>
      <c r="B66" s="14" t="str">
        <f>if(TTM!B66="","",iferror(max(min(TTM!B66,1),-0.3),""))</f>
        <v/>
      </c>
      <c r="C66" s="14">
        <f>if(TTM!C66="","",iferror(max(min(TTM!C66,1),-0.3),""))</f>
        <v>0.2078574528</v>
      </c>
      <c r="D66" s="14">
        <f>if(TTM!D66="","",iferror(max(min(TTM!D66,1),-0.3),""))</f>
        <v>0.1685521841</v>
      </c>
      <c r="E66" s="14">
        <f>if(TTM!E66="","",iferror(max(min(TTM!E66,1),-0.3),""))</f>
        <v>0.1883660951</v>
      </c>
      <c r="F66" s="14">
        <f>if(TTM!F66="","",iferror(max(min(TTM!F66,1),-0.3),""))</f>
        <v>0.1976837456</v>
      </c>
      <c r="G66" s="14" t="str">
        <f>if(TTM!G66="","",iferror(max(min(TTM!G66,1),-0.3),""))</f>
        <v/>
      </c>
      <c r="H66" s="14" t="str">
        <f>if(TTM!H66="","",iferror(max(min(TTM!H66,1),-0.3),""))</f>
        <v/>
      </c>
      <c r="I66" s="14" t="str">
        <f>if(TTM!I66="","",iferror(max(min(TTM!I66,1),-0.3),""))</f>
        <v/>
      </c>
      <c r="J66" s="14">
        <f>if(TTM!J66="","",iferror(max(min(TTM!J66,1),-0.3),""))</f>
        <v>0.2670041983</v>
      </c>
      <c r="K66" s="14" t="str">
        <f>if(TTM!K66="","",iferror(max(min(TTM!K66,1),-0.3),""))</f>
        <v/>
      </c>
      <c r="L66" s="14">
        <f>if(TTM!L66="","",iferror(max(min(TTM!L66,1),-0.3),""))</f>
        <v>0.1448835061</v>
      </c>
      <c r="M66" s="14" t="str">
        <f>if(TTM!M66="","",iferror(max(min(TTM!M66,1),-0.3),""))</f>
        <v/>
      </c>
      <c r="N66" s="14" t="str">
        <f>if(TTM!N66="","",iferror(max(min(TTM!N66,1),-0.3),""))</f>
        <v/>
      </c>
      <c r="O66" s="14">
        <f>if(TTM!O66="","",iferror(max(min(TTM!O66,1),-0.3),""))</f>
        <v>0.2163366785</v>
      </c>
      <c r="P66" s="14" t="str">
        <f>if(TTM!P66="","",iferror(max(min(TTM!P66,1),-0.3),""))</f>
        <v/>
      </c>
      <c r="Q66" s="14" t="str">
        <f>if(TTM!Q66="","",iferror(max(min(TTM!Q66,1),-0.3),""))</f>
        <v/>
      </c>
      <c r="R66" s="14"/>
      <c r="S66" s="14" t="str">
        <f>if(TTM!S66="","",iferror(max(min(TTM!S66,1),-0.3),""))</f>
        <v/>
      </c>
      <c r="T66" s="14" t="str">
        <f>if(TTM!T66="","",iferror(max(min(TTM!T66,1),-0.3),""))</f>
        <v/>
      </c>
      <c r="U66" s="14" t="str">
        <f>if(TTM!U66="","",iferror(max(min(TTM!U66,1),-0.3),""))</f>
        <v/>
      </c>
      <c r="V66" s="14">
        <f>if(TTM!V66="","",iferror(max(min(TTM!V66,1),-0.3),""))</f>
        <v>0.01429633807</v>
      </c>
      <c r="W66" s="14" t="str">
        <f>if(TTM!W66="","",iferror(max(min(TTM!W66,1),-0.3),""))</f>
        <v/>
      </c>
      <c r="X66" s="14">
        <f>if(TTM!X66="","",iferror(max(min(TTM!X66,1),-0.3),""))</f>
        <v>-0.03622129232</v>
      </c>
      <c r="Y66" s="14" t="str">
        <f>if(TTM!Y66="","",iferror(max(min(TTM!Y66,1),-0.3),""))</f>
        <v/>
      </c>
      <c r="Z66" s="14" t="str">
        <f>if(TTM!Z66="","",iferror(max(min(TTM!Z66,1),-0.3),""))</f>
        <v/>
      </c>
      <c r="AA66" s="14" t="str">
        <f>if(TTM!AA66="","",iferror(max(min(TTM!AA66,1),-0.3),""))</f>
        <v/>
      </c>
      <c r="AB66" s="14" t="str">
        <f>if(TTM!AB66="","",iferror(max(min(TTM!AB66,1),-0.3),""))</f>
        <v/>
      </c>
      <c r="AC66" s="14" t="str">
        <f>if(TTM!AC66="","",iferror(max(min(TTM!AC66,1),-0.3),""))</f>
        <v/>
      </c>
      <c r="AD66" s="12"/>
    </row>
    <row r="67">
      <c r="A67" s="15" t="s">
        <v>94</v>
      </c>
      <c r="B67" s="14" t="str">
        <f>if(TTM!B67="","",iferror(max(min(TTM!B67,1),-0.3),""))</f>
        <v/>
      </c>
      <c r="C67" s="14">
        <f>if(TTM!C67="","",iferror(max(min(TTM!C67,1),-0.3),""))</f>
        <v>0.2287101784</v>
      </c>
      <c r="D67" s="14">
        <f>if(TTM!D67="","",iferror(max(min(TTM!D67,1),-0.3),""))</f>
        <v>0.1723724638</v>
      </c>
      <c r="E67" s="14">
        <f>if(TTM!E67="","",iferror(max(min(TTM!E67,1),-0.3),""))</f>
        <v>0.2246861138</v>
      </c>
      <c r="F67" s="14">
        <f>if(TTM!F67="","",iferror(max(min(TTM!F67,1),-0.3),""))</f>
        <v>0.2078958367</v>
      </c>
      <c r="G67" s="14" t="str">
        <f>if(TTM!G67="","",iferror(max(min(TTM!G67,1),-0.3),""))</f>
        <v/>
      </c>
      <c r="H67" s="14">
        <f>if(TTM!H67="","",iferror(max(min(TTM!H67,1),-0.3),""))</f>
        <v>0.08552301285</v>
      </c>
      <c r="I67" s="14" t="str">
        <f>if(TTM!I67="","",iferror(max(min(TTM!I67,1),-0.3),""))</f>
        <v/>
      </c>
      <c r="J67" s="14">
        <f>if(TTM!J67="","",iferror(max(min(TTM!J67,1),-0.3),""))</f>
        <v>0.1639021562</v>
      </c>
      <c r="K67" s="14" t="str">
        <f>if(TTM!K67="","",iferror(max(min(TTM!K67,1),-0.3),""))</f>
        <v/>
      </c>
      <c r="L67" s="14">
        <f>if(TTM!L67="","",iferror(max(min(TTM!L67,1),-0.3),""))</f>
        <v>0.1450646521</v>
      </c>
      <c r="M67" s="14" t="str">
        <f>if(TTM!M67="","",iferror(max(min(TTM!M67,1),-0.3),""))</f>
        <v/>
      </c>
      <c r="N67" s="14" t="str">
        <f>if(TTM!N67="","",iferror(max(min(TTM!N67,1),-0.3),""))</f>
        <v/>
      </c>
      <c r="O67" s="14">
        <f>if(TTM!O67="","",iferror(max(min(TTM!O67,1),-0.3),""))</f>
        <v>0.1961639152</v>
      </c>
      <c r="P67" s="14" t="str">
        <f>if(TTM!P67="","",iferror(max(min(TTM!P67,1),-0.3),""))</f>
        <v/>
      </c>
      <c r="Q67" s="14" t="str">
        <f>if(TTM!Q67="","",iferror(max(min(TTM!Q67,1),-0.3),""))</f>
        <v/>
      </c>
      <c r="R67" s="14"/>
      <c r="S67" s="14" t="str">
        <f>if(TTM!S67="","",iferror(max(min(TTM!S67,1),-0.3),""))</f>
        <v/>
      </c>
      <c r="T67" s="14" t="str">
        <f>if(TTM!T67="","",iferror(max(min(TTM!T67,1),-0.3),""))</f>
        <v/>
      </c>
      <c r="U67" s="14" t="str">
        <f>if(TTM!U67="","",iferror(max(min(TTM!U67,1),-0.3),""))</f>
        <v/>
      </c>
      <c r="V67" s="14">
        <f>if(TTM!V67="","",iferror(max(min(TTM!V67,1),-0.3),""))</f>
        <v>0.03261726842</v>
      </c>
      <c r="W67" s="14" t="str">
        <f>if(TTM!W67="","",iferror(max(min(TTM!W67,1),-0.3),""))</f>
        <v/>
      </c>
      <c r="X67" s="14">
        <f>if(TTM!X67="","",iferror(max(min(TTM!X67,1),-0.3),""))</f>
        <v>-0.07216244719</v>
      </c>
      <c r="Y67" s="14" t="str">
        <f>if(TTM!Y67="","",iferror(max(min(TTM!Y67,1),-0.3),""))</f>
        <v/>
      </c>
      <c r="Z67" s="14" t="str">
        <f>if(TTM!Z67="","",iferror(max(min(TTM!Z67,1),-0.3),""))</f>
        <v/>
      </c>
      <c r="AA67" s="14" t="str">
        <f>if(TTM!AA67="","",iferror(max(min(TTM!AA67,1),-0.3),""))</f>
        <v/>
      </c>
      <c r="AB67" s="14" t="str">
        <f>if(TTM!AB67="","",iferror(max(min(TTM!AB67,1),-0.3),""))</f>
        <v/>
      </c>
      <c r="AC67" s="14" t="str">
        <f>if(TTM!AC67="","",iferror(max(min(TTM!AC67,1),-0.3),""))</f>
        <v/>
      </c>
      <c r="AD67" s="12"/>
    </row>
    <row r="68">
      <c r="A68" s="15" t="s">
        <v>95</v>
      </c>
      <c r="B68" s="14" t="str">
        <f>if(TTM!B68="","",iferror(max(min(TTM!B68,1),-0.3),""))</f>
        <v/>
      </c>
      <c r="C68" s="14">
        <f>if(TTM!C68="","",iferror(max(min(TTM!C68,1),-0.3),""))</f>
        <v>0.2495629039</v>
      </c>
      <c r="D68" s="14">
        <f>if(TTM!D68="","",iferror(max(min(TTM!D68,1),-0.3),""))</f>
        <v>0.1761927434</v>
      </c>
      <c r="E68" s="14">
        <f>if(TTM!E68="","",iferror(max(min(TTM!E68,1),-0.3),""))</f>
        <v>0.2610061325</v>
      </c>
      <c r="F68" s="14">
        <f>if(TTM!F68="","",iferror(max(min(TTM!F68,1),-0.3),""))</f>
        <v>0.2181079278</v>
      </c>
      <c r="G68" s="14" t="str">
        <f>if(TTM!G68="","",iferror(max(min(TTM!G68,1),-0.3),""))</f>
        <v/>
      </c>
      <c r="H68" s="14">
        <f>if(TTM!H68="","",iferror(max(min(TTM!H68,1),-0.3),""))</f>
        <v>0.08298845294</v>
      </c>
      <c r="I68" s="14" t="str">
        <f>if(TTM!I68="","",iferror(max(min(TTM!I68,1),-0.3),""))</f>
        <v/>
      </c>
      <c r="J68" s="14">
        <f>if(TTM!J68="","",iferror(max(min(TTM!J68,1),-0.3),""))</f>
        <v>0.1532132591</v>
      </c>
      <c r="K68" s="14" t="str">
        <f>if(TTM!K68="","",iferror(max(min(TTM!K68,1),-0.3),""))</f>
        <v/>
      </c>
      <c r="L68" s="14">
        <f>if(TTM!L68="","",iferror(max(min(TTM!L68,1),-0.3),""))</f>
        <v>0.145245798</v>
      </c>
      <c r="M68" s="14" t="str">
        <f>if(TTM!M68="","",iferror(max(min(TTM!M68,1),-0.3),""))</f>
        <v/>
      </c>
      <c r="N68" s="14" t="str">
        <f>if(TTM!N68="","",iferror(max(min(TTM!N68,1),-0.3),""))</f>
        <v/>
      </c>
      <c r="O68" s="14">
        <f>if(TTM!O68="","",iferror(max(min(TTM!O68,1),-0.3),""))</f>
        <v>0.1759911519</v>
      </c>
      <c r="P68" s="14" t="str">
        <f>if(TTM!P68="","",iferror(max(min(TTM!P68,1),-0.3),""))</f>
        <v/>
      </c>
      <c r="Q68" s="14" t="str">
        <f>if(TTM!Q68="","",iferror(max(min(TTM!Q68,1),-0.3),""))</f>
        <v/>
      </c>
      <c r="R68" s="14"/>
      <c r="S68" s="14" t="str">
        <f>if(TTM!S68="","",iferror(max(min(TTM!S68,1),-0.3),""))</f>
        <v/>
      </c>
      <c r="T68" s="14" t="str">
        <f>if(TTM!T68="","",iferror(max(min(TTM!T68,1),-0.3),""))</f>
        <v/>
      </c>
      <c r="U68" s="14" t="str">
        <f>if(TTM!U68="","",iferror(max(min(TTM!U68,1),-0.3),""))</f>
        <v/>
      </c>
      <c r="V68" s="14">
        <f>if(TTM!V68="","",iferror(max(min(TTM!V68,1),-0.3),""))</f>
        <v>0.05093819877</v>
      </c>
      <c r="W68" s="14" t="str">
        <f>if(TTM!W68="","",iferror(max(min(TTM!W68,1),-0.3),""))</f>
        <v/>
      </c>
      <c r="X68" s="14">
        <f>if(TTM!X68="","",iferror(max(min(TTM!X68,1),-0.3),""))</f>
        <v>-0.1081036021</v>
      </c>
      <c r="Y68" s="14" t="str">
        <f>if(TTM!Y68="","",iferror(max(min(TTM!Y68,1),-0.3),""))</f>
        <v/>
      </c>
      <c r="Z68" s="14" t="str">
        <f>if(TTM!Z68="","",iferror(max(min(TTM!Z68,1),-0.3),""))</f>
        <v/>
      </c>
      <c r="AA68" s="14" t="str">
        <f>if(TTM!AA68="","",iferror(max(min(TTM!AA68,1),-0.3),""))</f>
        <v/>
      </c>
      <c r="AB68" s="14" t="str">
        <f>if(TTM!AB68="","",iferror(max(min(TTM!AB68,1),-0.3),""))</f>
        <v/>
      </c>
      <c r="AC68" s="14" t="str">
        <f>if(TTM!AC68="","",iferror(max(min(TTM!AC68,1),-0.3),""))</f>
        <v/>
      </c>
      <c r="AD68" s="12"/>
    </row>
    <row r="69">
      <c r="A69" s="15" t="s">
        <v>96</v>
      </c>
      <c r="B69" s="14" t="str">
        <f>if(TTM!B69="","",iferror(max(min(TTM!B69,1),-0.3),""))</f>
        <v/>
      </c>
      <c r="C69" s="14">
        <f>if(TTM!C69="","",iferror(max(min(TTM!C69,1),-0.3),""))</f>
        <v>0.2704156295</v>
      </c>
      <c r="D69" s="14">
        <f>if(TTM!D69="","",iferror(max(min(TTM!D69,1),-0.3),""))</f>
        <v>0.180013023</v>
      </c>
      <c r="E69" s="14">
        <f>if(TTM!E69="","",iferror(max(min(TTM!E69,1),-0.3),""))</f>
        <v>0.2973261513</v>
      </c>
      <c r="F69" s="14">
        <f>if(TTM!F69="","",iferror(max(min(TTM!F69,1),-0.3),""))</f>
        <v>0.228320019</v>
      </c>
      <c r="G69" s="14" t="str">
        <f>if(TTM!G69="","",iferror(max(min(TTM!G69,1),-0.3),""))</f>
        <v/>
      </c>
      <c r="H69" s="14">
        <f>if(TTM!H69="","",iferror(max(min(TTM!H69,1),-0.3),""))</f>
        <v>0.08045389304</v>
      </c>
      <c r="I69" s="14" t="str">
        <f>if(TTM!I69="","",iferror(max(min(TTM!I69,1),-0.3),""))</f>
        <v/>
      </c>
      <c r="J69" s="14">
        <f>if(TTM!J69="","",iferror(max(min(TTM!J69,1),-0.3),""))</f>
        <v>0.1425243621</v>
      </c>
      <c r="K69" s="14" t="str">
        <f>if(TTM!K69="","",iferror(max(min(TTM!K69,1),-0.3),""))</f>
        <v/>
      </c>
      <c r="L69" s="14">
        <f>if(TTM!L69="","",iferror(max(min(TTM!L69,1),-0.3),""))</f>
        <v>0.145426944</v>
      </c>
      <c r="M69" s="14" t="str">
        <f>if(TTM!M69="","",iferror(max(min(TTM!M69,1),-0.3),""))</f>
        <v/>
      </c>
      <c r="N69" s="14" t="str">
        <f>if(TTM!N69="","",iferror(max(min(TTM!N69,1),-0.3),""))</f>
        <v/>
      </c>
      <c r="O69" s="14">
        <f>if(TTM!O69="","",iferror(max(min(TTM!O69,1),-0.3),""))</f>
        <v>0.2181204312</v>
      </c>
      <c r="P69" s="14" t="str">
        <f>if(TTM!P69="","",iferror(max(min(TTM!P69,1),-0.3),""))</f>
        <v/>
      </c>
      <c r="Q69" s="14" t="str">
        <f>if(TTM!Q69="","",iferror(max(min(TTM!Q69,1),-0.3),""))</f>
        <v/>
      </c>
      <c r="R69" s="14"/>
      <c r="S69" s="14" t="str">
        <f>if(TTM!S69="","",iferror(max(min(TTM!S69,1),-0.3),""))</f>
        <v/>
      </c>
      <c r="T69" s="14" t="str">
        <f>if(TTM!T69="","",iferror(max(min(TTM!T69,1),-0.3),""))</f>
        <v/>
      </c>
      <c r="U69" s="14" t="str">
        <f>if(TTM!U69="","",iferror(max(min(TTM!U69,1),-0.3),""))</f>
        <v/>
      </c>
      <c r="V69" s="14">
        <f>if(TTM!V69="","",iferror(max(min(TTM!V69,1),-0.3),""))</f>
        <v>0.06925912912</v>
      </c>
      <c r="W69" s="14" t="str">
        <f>if(TTM!W69="","",iferror(max(min(TTM!W69,1),-0.3),""))</f>
        <v/>
      </c>
      <c r="X69" s="14">
        <f>if(TTM!X69="","",iferror(max(min(TTM!X69,1),-0.3),""))</f>
        <v>-0.04264748189</v>
      </c>
      <c r="Y69" s="14" t="str">
        <f>if(TTM!Y69="","",iferror(max(min(TTM!Y69,1),-0.3),""))</f>
        <v/>
      </c>
      <c r="Z69" s="14" t="str">
        <f>if(TTM!Z69="","",iferror(max(min(TTM!Z69,1),-0.3),""))</f>
        <v/>
      </c>
      <c r="AA69" s="14" t="str">
        <f>if(TTM!AA69="","",iferror(max(min(TTM!AA69,1),-0.3),""))</f>
        <v/>
      </c>
      <c r="AB69" s="14" t="str">
        <f>if(TTM!AB69="","",iferror(max(min(TTM!AB69,1),-0.3),""))</f>
        <v/>
      </c>
      <c r="AC69" s="14" t="str">
        <f>if(TTM!AC69="","",iferror(max(min(TTM!AC69,1),-0.3),""))</f>
        <v/>
      </c>
      <c r="AD69" s="12"/>
    </row>
    <row r="70">
      <c r="A70" s="15" t="s">
        <v>97</v>
      </c>
      <c r="B70" s="14" t="str">
        <f>if(TTM!B70="","",iferror(max(min(TTM!B70,1),-0.3),""))</f>
        <v/>
      </c>
      <c r="C70" s="14">
        <f>if(TTM!C70="","",iferror(max(min(TTM!C70,1),-0.3),""))</f>
        <v>0.291268355</v>
      </c>
      <c r="D70" s="14">
        <f>if(TTM!D70="","",iferror(max(min(TTM!D70,1),-0.3),""))</f>
        <v>0.1838333027</v>
      </c>
      <c r="E70" s="14">
        <f>if(TTM!E70="","",iferror(max(min(TTM!E70,1),-0.3),""))</f>
        <v>0.33364617</v>
      </c>
      <c r="F70" s="14">
        <f>if(TTM!F70="","",iferror(max(min(TTM!F70,1),-0.3),""))</f>
        <v>0.2385321101</v>
      </c>
      <c r="G70" s="14" t="str">
        <f>if(TTM!G70="","",iferror(max(min(TTM!G70,1),-0.3),""))</f>
        <v/>
      </c>
      <c r="H70" s="14">
        <f>if(TTM!H70="","",iferror(max(min(TTM!H70,1),-0.3),""))</f>
        <v>0.07791933313</v>
      </c>
      <c r="I70" s="14" t="str">
        <f>if(TTM!I70="","",iferror(max(min(TTM!I70,1),-0.3),""))</f>
        <v/>
      </c>
      <c r="J70" s="14">
        <f>if(TTM!J70="","",iferror(max(min(TTM!J70,1),-0.3),""))</f>
        <v>0.1318354651</v>
      </c>
      <c r="K70" s="14" t="str">
        <f>if(TTM!K70="","",iferror(max(min(TTM!K70,1),-0.3),""))</f>
        <v/>
      </c>
      <c r="L70" s="14">
        <f>if(TTM!L70="","",iferror(max(min(TTM!L70,1),-0.3),""))</f>
        <v>0.1456080899</v>
      </c>
      <c r="M70" s="14" t="str">
        <f>if(TTM!M70="","",iferror(max(min(TTM!M70,1),-0.3),""))</f>
        <v/>
      </c>
      <c r="N70" s="14" t="str">
        <f>if(TTM!N70="","",iferror(max(min(TTM!N70,1),-0.3),""))</f>
        <v/>
      </c>
      <c r="O70" s="14">
        <f>if(TTM!O70="","",iferror(max(min(TTM!O70,1),-0.3),""))</f>
        <v>0.2602497105</v>
      </c>
      <c r="P70" s="14" t="str">
        <f>if(TTM!P70="","",iferror(max(min(TTM!P70,1),-0.3),""))</f>
        <v/>
      </c>
      <c r="Q70" s="14" t="str">
        <f>if(TTM!Q70="","",iferror(max(min(TTM!Q70,1),-0.3),""))</f>
        <v/>
      </c>
      <c r="R70" s="14"/>
      <c r="S70" s="14" t="str">
        <f>if(TTM!S70="","",iferror(max(min(TTM!S70,1),-0.3),""))</f>
        <v/>
      </c>
      <c r="T70" s="14" t="str">
        <f>if(TTM!T70="","",iferror(max(min(TTM!T70,1),-0.3),""))</f>
        <v/>
      </c>
      <c r="U70" s="14" t="str">
        <f>if(TTM!U70="","",iferror(max(min(TTM!U70,1),-0.3),""))</f>
        <v/>
      </c>
      <c r="V70" s="14">
        <f>if(TTM!V70="","",iferror(max(min(TTM!V70,1),-0.3),""))</f>
        <v>0.08758005948</v>
      </c>
      <c r="W70" s="14" t="str">
        <f>if(TTM!W70="","",iferror(max(min(TTM!W70,1),-0.3),""))</f>
        <v/>
      </c>
      <c r="X70" s="14">
        <f>if(TTM!X70="","",iferror(max(min(TTM!X70,1),-0.3),""))</f>
        <v>0.02280863828</v>
      </c>
      <c r="Y70" s="14" t="str">
        <f>if(TTM!Y70="","",iferror(max(min(TTM!Y70,1),-0.3),""))</f>
        <v/>
      </c>
      <c r="Z70" s="14" t="str">
        <f>if(TTM!Z70="","",iferror(max(min(TTM!Z70,1),-0.3),""))</f>
        <v/>
      </c>
      <c r="AA70" s="14" t="str">
        <f>if(TTM!AA70="","",iferror(max(min(TTM!AA70,1),-0.3),""))</f>
        <v/>
      </c>
      <c r="AB70" s="14" t="str">
        <f>if(TTM!AB70="","",iferror(max(min(TTM!AB70,1),-0.3),""))</f>
        <v/>
      </c>
      <c r="AC70" s="14" t="str">
        <f>if(TTM!AC70="","",iferror(max(min(TTM!AC70,1),-0.3),""))</f>
        <v/>
      </c>
      <c r="AD70" s="12"/>
    </row>
    <row r="71">
      <c r="A71" s="15" t="s">
        <v>98</v>
      </c>
      <c r="B71" s="14" t="str">
        <f>if(TTM!B71="","",iferror(max(min(TTM!B71,1),-0.3),""))</f>
        <v/>
      </c>
      <c r="C71" s="14">
        <f>if(TTM!C71="","",iferror(max(min(TTM!C71,1),-0.3),""))</f>
        <v>0.2791236767</v>
      </c>
      <c r="D71" s="14">
        <f>if(TTM!D71="","",iferror(max(min(TTM!D71,1),-0.3),""))</f>
        <v>0.1898647139</v>
      </c>
      <c r="E71" s="14">
        <f>if(TTM!E71="","",iferror(max(min(TTM!E71,1),-0.3),""))</f>
        <v>0.3302871534</v>
      </c>
      <c r="F71" s="14">
        <f>if(TTM!F71="","",iferror(max(min(TTM!F71,1),-0.3),""))</f>
        <v>0.2585287122</v>
      </c>
      <c r="G71" s="14" t="str">
        <f>if(TTM!G71="","",iferror(max(min(TTM!G71,1),-0.3),""))</f>
        <v/>
      </c>
      <c r="H71" s="14">
        <f>if(TTM!H71="","",iferror(max(min(TTM!H71,1),-0.3),""))</f>
        <v>0.07538477322</v>
      </c>
      <c r="I71" s="14" t="str">
        <f>if(TTM!I71="","",iferror(max(min(TTM!I71,1),-0.3),""))</f>
        <v/>
      </c>
      <c r="J71" s="14">
        <f>if(TTM!J71="","",iferror(max(min(TTM!J71,1),-0.3),""))</f>
        <v>0.1211465681</v>
      </c>
      <c r="K71" s="14" t="str">
        <f>if(TTM!K71="","",iferror(max(min(TTM!K71,1),-0.3),""))</f>
        <v/>
      </c>
      <c r="L71" s="14">
        <f>if(TTM!L71="","",iferror(max(min(TTM!L71,1),-0.3),""))</f>
        <v>0.1644622991</v>
      </c>
      <c r="M71" s="14" t="str">
        <f>if(TTM!M71="","",iferror(max(min(TTM!M71,1),-0.3),""))</f>
        <v/>
      </c>
      <c r="N71" s="14" t="str">
        <f>if(TTM!N71="","",iferror(max(min(TTM!N71,1),-0.3),""))</f>
        <v/>
      </c>
      <c r="O71" s="14">
        <f>if(TTM!O71="","",iferror(max(min(TTM!O71,1),-0.3),""))</f>
        <v>0.3023789898</v>
      </c>
      <c r="P71" s="14" t="str">
        <f>if(TTM!P71="","",iferror(max(min(TTM!P71,1),-0.3),""))</f>
        <v/>
      </c>
      <c r="Q71" s="14" t="str">
        <f>if(TTM!Q71="","",iferror(max(min(TTM!Q71,1),-0.3),""))</f>
        <v/>
      </c>
      <c r="R71" s="14"/>
      <c r="S71" s="14">
        <f>if(TTM!S71="","",iferror(max(min(TTM!S71,1),-0.3),""))</f>
        <v>0.5498569775</v>
      </c>
      <c r="T71" s="14" t="str">
        <f>if(TTM!T71="","",iferror(max(min(TTM!T71,1),-0.3),""))</f>
        <v/>
      </c>
      <c r="U71" s="14" t="str">
        <f>if(TTM!U71="","",iferror(max(min(TTM!U71,1),-0.3),""))</f>
        <v/>
      </c>
      <c r="V71" s="14">
        <f>if(TTM!V71="","",iferror(max(min(TTM!V71,1),-0.3),""))</f>
        <v>0.0907746842</v>
      </c>
      <c r="W71" s="14" t="str">
        <f>if(TTM!W71="","",iferror(max(min(TTM!W71,1),-0.3),""))</f>
        <v/>
      </c>
      <c r="X71" s="14">
        <f>if(TTM!X71="","",iferror(max(min(TTM!X71,1),-0.3),""))</f>
        <v>0.08826475846</v>
      </c>
      <c r="Y71" s="14">
        <f>if(TTM!Y71="","",iferror(max(min(TTM!Y71,1),-0.3),""))</f>
        <v>0.2960921086</v>
      </c>
      <c r="Z71" s="14" t="str">
        <f>if(TTM!Z71="","",iferror(max(min(TTM!Z71,1),-0.3),""))</f>
        <v/>
      </c>
      <c r="AA71" s="14" t="str">
        <f>if(TTM!AA71="","",iferror(max(min(TTM!AA71,1),-0.3),""))</f>
        <v/>
      </c>
      <c r="AB71" s="14" t="str">
        <f>if(TTM!AB71="","",iferror(max(min(TTM!AB71,1),-0.3),""))</f>
        <v/>
      </c>
      <c r="AC71" s="14" t="str">
        <f>if(TTM!AC71="","",iferror(max(min(TTM!AC71,1),-0.3),""))</f>
        <v/>
      </c>
      <c r="AD71" s="12"/>
    </row>
    <row r="72">
      <c r="A72" s="15" t="s">
        <v>99</v>
      </c>
      <c r="B72" s="14" t="str">
        <f>if(TTM!B72="","",iferror(max(min(TTM!B72,1),-0.3),""))</f>
        <v/>
      </c>
      <c r="C72" s="14">
        <f>if(TTM!C72="","",iferror(max(min(TTM!C72,1),-0.3),""))</f>
        <v>0.2669789984</v>
      </c>
      <c r="D72" s="14">
        <f>if(TTM!D72="","",iferror(max(min(TTM!D72,1),-0.3),""))</f>
        <v>0.1958961251</v>
      </c>
      <c r="E72" s="14">
        <f>if(TTM!E72="","",iferror(max(min(TTM!E72,1),-0.3),""))</f>
        <v>0.3269281368</v>
      </c>
      <c r="F72" s="14">
        <f>if(TTM!F72="","",iferror(max(min(TTM!F72,1),-0.3),""))</f>
        <v>0.2785253143</v>
      </c>
      <c r="G72" s="14" t="str">
        <f>if(TTM!G72="","",iferror(max(min(TTM!G72,1),-0.3),""))</f>
        <v/>
      </c>
      <c r="H72" s="14">
        <f>if(TTM!H72="","",iferror(max(min(TTM!H72,1),-0.3),""))</f>
        <v>-0.1347864518</v>
      </c>
      <c r="I72" s="14" t="str">
        <f>if(TTM!I72="","",iferror(max(min(TTM!I72,1),-0.3),""))</f>
        <v/>
      </c>
      <c r="J72" s="14">
        <f>if(TTM!J72="","",iferror(max(min(TTM!J72,1),-0.3),""))</f>
        <v>0.1337104423</v>
      </c>
      <c r="K72" s="14" t="str">
        <f>if(TTM!K72="","",iferror(max(min(TTM!K72,1),-0.3),""))</f>
        <v/>
      </c>
      <c r="L72" s="14">
        <f>if(TTM!L72="","",iferror(max(min(TTM!L72,1),-0.3),""))</f>
        <v>0.1833165083</v>
      </c>
      <c r="M72" s="14" t="str">
        <f>if(TTM!M72="","",iferror(max(min(TTM!M72,1),-0.3),""))</f>
        <v/>
      </c>
      <c r="N72" s="14" t="str">
        <f>if(TTM!N72="","",iferror(max(min(TTM!N72,1),-0.3),""))</f>
        <v/>
      </c>
      <c r="O72" s="14">
        <f>if(TTM!O72="","",iferror(max(min(TTM!O72,1),-0.3),""))</f>
        <v>0.3445082691</v>
      </c>
      <c r="P72" s="14" t="str">
        <f>if(TTM!P72="","",iferror(max(min(TTM!P72,1),-0.3),""))</f>
        <v/>
      </c>
      <c r="Q72" s="14" t="str">
        <f>if(TTM!Q72="","",iferror(max(min(TTM!Q72,1),-0.3),""))</f>
        <v/>
      </c>
      <c r="R72" s="14"/>
      <c r="S72" s="14">
        <f>if(TTM!S72="","",iferror(max(min(TTM!S72,1),-0.3),""))</f>
        <v>0.3833946615</v>
      </c>
      <c r="T72" s="14" t="str">
        <f>if(TTM!T72="","",iferror(max(min(TTM!T72,1),-0.3),""))</f>
        <v/>
      </c>
      <c r="U72" s="14" t="str">
        <f>if(TTM!U72="","",iferror(max(min(TTM!U72,1),-0.3),""))</f>
        <v/>
      </c>
      <c r="V72" s="14">
        <f>if(TTM!V72="","",iferror(max(min(TTM!V72,1),-0.3),""))</f>
        <v>0.09396930891</v>
      </c>
      <c r="W72" s="14" t="str">
        <f>if(TTM!W72="","",iferror(max(min(TTM!W72,1),-0.3),""))</f>
        <v/>
      </c>
      <c r="X72" s="14">
        <f>if(TTM!X72="","",iferror(max(min(TTM!X72,1),-0.3),""))</f>
        <v>0.1537208786</v>
      </c>
      <c r="Y72" s="14">
        <f>if(TTM!Y72="","",iferror(max(min(TTM!Y72,1),-0.3),""))</f>
        <v>0.2960921086</v>
      </c>
      <c r="Z72" s="14" t="str">
        <f>if(TTM!Z72="","",iferror(max(min(TTM!Z72,1),-0.3),""))</f>
        <v/>
      </c>
      <c r="AA72" s="14" t="str">
        <f>if(TTM!AA72="","",iferror(max(min(TTM!AA72,1),-0.3),""))</f>
        <v/>
      </c>
      <c r="AB72" s="14" t="str">
        <f>if(TTM!AB72="","",iferror(max(min(TTM!AB72,1),-0.3),""))</f>
        <v/>
      </c>
      <c r="AC72" s="14" t="str">
        <f>if(TTM!AC72="","",iferror(max(min(TTM!AC72,1),-0.3),""))</f>
        <v/>
      </c>
      <c r="AD72" s="12"/>
    </row>
    <row r="73">
      <c r="A73" s="15" t="s">
        <v>100</v>
      </c>
      <c r="B73" s="14" t="str">
        <f>if(TTM!B73="","",iferror(max(min(TTM!B73,1),-0.3),""))</f>
        <v/>
      </c>
      <c r="C73" s="14">
        <f>if(TTM!C73="","",iferror(max(min(TTM!C73,1),-0.3),""))</f>
        <v>0.2548343201</v>
      </c>
      <c r="D73" s="14">
        <f>if(TTM!D73="","",iferror(max(min(TTM!D73,1),-0.3),""))</f>
        <v>0.2019275363</v>
      </c>
      <c r="E73" s="14">
        <f>if(TTM!E73="","",iferror(max(min(TTM!E73,1),-0.3),""))</f>
        <v>0.3235691202</v>
      </c>
      <c r="F73" s="14">
        <f>if(TTM!F73="","",iferror(max(min(TTM!F73,1),-0.3),""))</f>
        <v>0.2985219164</v>
      </c>
      <c r="G73" s="14" t="str">
        <f>if(TTM!G73="","",iferror(max(min(TTM!G73,1),-0.3),""))</f>
        <v/>
      </c>
      <c r="H73" s="14">
        <f>if(TTM!H73="","",iferror(max(min(TTM!H73,1),-0.3),""))</f>
        <v>-0.3</v>
      </c>
      <c r="I73" s="14" t="str">
        <f>if(TTM!I73="","",iferror(max(min(TTM!I73,1),-0.3),""))</f>
        <v/>
      </c>
      <c r="J73" s="14">
        <f>if(TTM!J73="","",iferror(max(min(TTM!J73,1),-0.3),""))</f>
        <v>0.1462743166</v>
      </c>
      <c r="K73" s="14" t="str">
        <f>if(TTM!K73="","",iferror(max(min(TTM!K73,1),-0.3),""))</f>
        <v/>
      </c>
      <c r="L73" s="14">
        <f>if(TTM!L73="","",iferror(max(min(TTM!L73,1),-0.3),""))</f>
        <v>0.2021707175</v>
      </c>
      <c r="M73" s="14" t="str">
        <f>if(TTM!M73="","",iferror(max(min(TTM!M73,1),-0.3),""))</f>
        <v/>
      </c>
      <c r="N73" s="14" t="str">
        <f>if(TTM!N73="","",iferror(max(min(TTM!N73,1),-0.3),""))</f>
        <v/>
      </c>
      <c r="O73" s="14">
        <f>if(TTM!O73="","",iferror(max(min(TTM!O73,1),-0.3),""))</f>
        <v>0.254558144</v>
      </c>
      <c r="P73" s="14" t="str">
        <f>if(TTM!P73="","",iferror(max(min(TTM!P73,1),-0.3),""))</f>
        <v/>
      </c>
      <c r="Q73" s="14" t="str">
        <f>if(TTM!Q73="","",iferror(max(min(TTM!Q73,1),-0.3),""))</f>
        <v/>
      </c>
      <c r="R73" s="14"/>
      <c r="S73" s="14">
        <f>if(TTM!S73="","",iferror(max(min(TTM!S73,1),-0.3),""))</f>
        <v>0.2169323454</v>
      </c>
      <c r="T73" s="14" t="str">
        <f>if(TTM!T73="","",iferror(max(min(TTM!T73,1),-0.3),""))</f>
        <v/>
      </c>
      <c r="U73" s="14" t="str">
        <f>if(TTM!U73="","",iferror(max(min(TTM!U73,1),-0.3),""))</f>
        <v/>
      </c>
      <c r="V73" s="14">
        <f>if(TTM!V73="","",iferror(max(min(TTM!V73,1),-0.3),""))</f>
        <v>0.09716393363</v>
      </c>
      <c r="W73" s="14" t="str">
        <f>if(TTM!W73="","",iferror(max(min(TTM!W73,1),-0.3),""))</f>
        <v/>
      </c>
      <c r="X73" s="14">
        <f>if(TTM!X73="","",iferror(max(min(TTM!X73,1),-0.3),""))</f>
        <v>0.08347753852</v>
      </c>
      <c r="Y73" s="14">
        <f>if(TTM!Y73="","",iferror(max(min(TTM!Y73,1),-0.3),""))</f>
        <v>0.2960921086</v>
      </c>
      <c r="Z73" s="14" t="str">
        <f>if(TTM!Z73="","",iferror(max(min(TTM!Z73,1),-0.3),""))</f>
        <v/>
      </c>
      <c r="AA73" s="14" t="str">
        <f>if(TTM!AA73="","",iferror(max(min(TTM!AA73,1),-0.3),""))</f>
        <v/>
      </c>
      <c r="AB73" s="14" t="str">
        <f>if(TTM!AB73="","",iferror(max(min(TTM!AB73,1),-0.3),""))</f>
        <v/>
      </c>
      <c r="AC73" s="14" t="str">
        <f>if(TTM!AC73="","",iferror(max(min(TTM!AC73,1),-0.3),""))</f>
        <v/>
      </c>
      <c r="AD73" s="12"/>
    </row>
    <row r="74">
      <c r="A74" s="15" t="s">
        <v>101</v>
      </c>
      <c r="B74" s="14" t="str">
        <f>if(TTM!B74="","",iferror(max(min(TTM!B74,1),-0.3),""))</f>
        <v/>
      </c>
      <c r="C74" s="14">
        <f>if(TTM!C74="","",iferror(max(min(TTM!C74,1),-0.3),""))</f>
        <v>0.2426896418</v>
      </c>
      <c r="D74" s="14">
        <f>if(TTM!D74="","",iferror(max(min(TTM!D74,1),-0.3),""))</f>
        <v>0.2079589475</v>
      </c>
      <c r="E74" s="14">
        <f>if(TTM!E74="","",iferror(max(min(TTM!E74,1),-0.3),""))</f>
        <v>0.3202101036</v>
      </c>
      <c r="F74" s="14">
        <f>if(TTM!F74="","",iferror(max(min(TTM!F74,1),-0.3),""))</f>
        <v>0.3185185185</v>
      </c>
      <c r="G74" s="14" t="str">
        <f>if(TTM!G74="","",iferror(max(min(TTM!G74,1),-0.3),""))</f>
        <v/>
      </c>
      <c r="H74" s="14">
        <f>if(TTM!H74="","",iferror(max(min(TTM!H74,1),-0.3),""))</f>
        <v>-0.3</v>
      </c>
      <c r="I74" s="14" t="str">
        <f>if(TTM!I74="","",iferror(max(min(TTM!I74,1),-0.3),""))</f>
        <v/>
      </c>
      <c r="J74" s="14">
        <f>if(TTM!J74="","",iferror(max(min(TTM!J74,1),-0.3),""))</f>
        <v>0.1588381909</v>
      </c>
      <c r="K74" s="14" t="str">
        <f>if(TTM!K74="","",iferror(max(min(TTM!K74,1),-0.3),""))</f>
        <v/>
      </c>
      <c r="L74" s="14">
        <f>if(TTM!L74="","",iferror(max(min(TTM!L74,1),-0.3),""))</f>
        <v>0.2210249267</v>
      </c>
      <c r="M74" s="14" t="str">
        <f>if(TTM!M74="","",iferror(max(min(TTM!M74,1),-0.3),""))</f>
        <v/>
      </c>
      <c r="N74" s="14" t="str">
        <f>if(TTM!N74="","",iferror(max(min(TTM!N74,1),-0.3),""))</f>
        <v/>
      </c>
      <c r="O74" s="14">
        <f>if(TTM!O74="","",iferror(max(min(TTM!O74,1),-0.3),""))</f>
        <v>0.1646080189</v>
      </c>
      <c r="P74" s="14" t="str">
        <f>if(TTM!P74="","",iferror(max(min(TTM!P74,1),-0.3),""))</f>
        <v/>
      </c>
      <c r="Q74" s="14" t="str">
        <f>if(TTM!Q74="","",iferror(max(min(TTM!Q74,1),-0.3),""))</f>
        <v/>
      </c>
      <c r="R74" s="14"/>
      <c r="S74" s="14">
        <f>if(TTM!S74="","",iferror(max(min(TTM!S74,1),-0.3),""))</f>
        <v>0.05047002937</v>
      </c>
      <c r="T74" s="14" t="str">
        <f>if(TTM!T74="","",iferror(max(min(TTM!T74,1),-0.3),""))</f>
        <v/>
      </c>
      <c r="U74" s="14" t="str">
        <f>if(TTM!U74="","",iferror(max(min(TTM!U74,1),-0.3),""))</f>
        <v/>
      </c>
      <c r="V74" s="14">
        <f>if(TTM!V74="","",iferror(max(min(TTM!V74,1),-0.3),""))</f>
        <v>0.1003585584</v>
      </c>
      <c r="W74" s="14" t="str">
        <f>if(TTM!W74="","",iferror(max(min(TTM!W74,1),-0.3),""))</f>
        <v/>
      </c>
      <c r="X74" s="14">
        <f>if(TTM!X74="","",iferror(max(min(TTM!X74,1),-0.3),""))</f>
        <v>0.01323419841</v>
      </c>
      <c r="Y74" s="14">
        <f>if(TTM!Y74="","",iferror(max(min(TTM!Y74,1),-0.3),""))</f>
        <v>0.2960921086</v>
      </c>
      <c r="Z74" s="14" t="str">
        <f>if(TTM!Z74="","",iferror(max(min(TTM!Z74,1),-0.3),""))</f>
        <v/>
      </c>
      <c r="AA74" s="14" t="str">
        <f>if(TTM!AA74="","",iferror(max(min(TTM!AA74,1),-0.3),""))</f>
        <v/>
      </c>
      <c r="AB74" s="14" t="str">
        <f>if(TTM!AB74="","",iferror(max(min(TTM!AB74,1),-0.3),""))</f>
        <v/>
      </c>
      <c r="AC74" s="14" t="str">
        <f>if(TTM!AC74="","",iferror(max(min(TTM!AC74,1),-0.3),""))</f>
        <v/>
      </c>
      <c r="AD74" s="12"/>
    </row>
    <row r="75">
      <c r="A75" s="15" t="s">
        <v>102</v>
      </c>
      <c r="B75" s="14" t="str">
        <f>if(TTM!B75="","",iferror(max(min(TTM!B75,1),-0.3),""))</f>
        <v/>
      </c>
      <c r="C75" s="14">
        <f>if(TTM!C75="","",iferror(max(min(TTM!C75,1),-0.3),""))</f>
        <v>0.2051758042</v>
      </c>
      <c r="D75" s="14">
        <f>if(TTM!D75="","",iferror(max(min(TTM!D75,1),-0.3),""))</f>
        <v>0.1953911923</v>
      </c>
      <c r="E75" s="14">
        <f>if(TTM!E75="","",iferror(max(min(TTM!E75,1),-0.3),""))</f>
        <v>0.3396998761</v>
      </c>
      <c r="F75" s="14">
        <f>if(TTM!F75="","",iferror(max(min(TTM!F75,1),-0.3),""))</f>
        <v>0.2882468343</v>
      </c>
      <c r="G75" s="14" t="str">
        <f>if(TTM!G75="","",iferror(max(min(TTM!G75,1),-0.3),""))</f>
        <v/>
      </c>
      <c r="H75" s="14">
        <f>if(TTM!H75="","",iferror(max(min(TTM!H75,1),-0.3),""))</f>
        <v>-0.3</v>
      </c>
      <c r="I75" s="14" t="str">
        <f>if(TTM!I75="","",iferror(max(min(TTM!I75,1),-0.3),""))</f>
        <v/>
      </c>
      <c r="J75" s="14">
        <f>if(TTM!J75="","",iferror(max(min(TTM!J75,1),-0.3),""))</f>
        <v>0.1714020652</v>
      </c>
      <c r="K75" s="14" t="str">
        <f>if(TTM!K75="","",iferror(max(min(TTM!K75,1),-0.3),""))</f>
        <v/>
      </c>
      <c r="L75" s="14">
        <f>if(TTM!L75="","",iferror(max(min(TTM!L75,1),-0.3),""))</f>
        <v>0.20432267</v>
      </c>
      <c r="M75" s="14" t="str">
        <f>if(TTM!M75="","",iferror(max(min(TTM!M75,1),-0.3),""))</f>
        <v/>
      </c>
      <c r="N75" s="14" t="str">
        <f>if(TTM!N75="","",iferror(max(min(TTM!N75,1),-0.3),""))</f>
        <v/>
      </c>
      <c r="O75" s="14">
        <f>if(TTM!O75="","",iferror(max(min(TTM!O75,1),-0.3),""))</f>
        <v>0.07465789387</v>
      </c>
      <c r="P75" s="14" t="str">
        <f>if(TTM!P75="","",iferror(max(min(TTM!P75,1),-0.3),""))</f>
        <v/>
      </c>
      <c r="Q75" s="14" t="str">
        <f>if(TTM!Q75="","",iferror(max(min(TTM!Q75,1),-0.3),""))</f>
        <v/>
      </c>
      <c r="R75" s="14"/>
      <c r="S75" s="14">
        <f>if(TTM!S75="","",iferror(max(min(TTM!S75,1),-0.3),""))</f>
        <v>0.1686683488</v>
      </c>
      <c r="T75" s="14" t="str">
        <f>if(TTM!T75="","",iferror(max(min(TTM!T75,1),-0.3),""))</f>
        <v/>
      </c>
      <c r="U75" s="14" t="str">
        <f>if(TTM!U75="","",iferror(max(min(TTM!U75,1),-0.3),""))</f>
        <v/>
      </c>
      <c r="V75" s="14">
        <f>if(TTM!V75="","",iferror(max(min(TTM!V75,1),-0.3),""))</f>
        <v>0.1003585584</v>
      </c>
      <c r="W75" s="14" t="str">
        <f>if(TTM!W75="","",iferror(max(min(TTM!W75,1),-0.3),""))</f>
        <v/>
      </c>
      <c r="X75" s="14">
        <f>if(TTM!X75="","",iferror(max(min(TTM!X75,1),-0.3),""))</f>
        <v>-0.0570091417</v>
      </c>
      <c r="Y75" s="14">
        <f>if(TTM!Y75="","",iferror(max(min(TTM!Y75,1),-0.3),""))</f>
        <v>0.2667663349</v>
      </c>
      <c r="Z75" s="14" t="str">
        <f>if(TTM!Z75="","",iferror(max(min(TTM!Z75,1),-0.3),""))</f>
        <v/>
      </c>
      <c r="AA75" s="14" t="str">
        <f>if(TTM!AA75="","",iferror(max(min(TTM!AA75,1),-0.3),""))</f>
        <v/>
      </c>
      <c r="AB75" s="14" t="str">
        <f>if(TTM!AB75="","",iferror(max(min(TTM!AB75,1),-0.3),""))</f>
        <v/>
      </c>
      <c r="AC75" s="14" t="str">
        <f>if(TTM!AC75="","",iferror(max(min(TTM!AC75,1),-0.3),""))</f>
        <v/>
      </c>
      <c r="AD75" s="12"/>
    </row>
    <row r="76">
      <c r="A76" s="15" t="s">
        <v>103</v>
      </c>
      <c r="B76" s="14" t="str">
        <f>if(TTM!B76="","",iferror(max(min(TTM!B76,1),-0.3),""))</f>
        <v/>
      </c>
      <c r="C76" s="14">
        <f>if(TTM!C76="","",iferror(max(min(TTM!C76,1),-0.3),""))</f>
        <v>0.1676619665</v>
      </c>
      <c r="D76" s="14">
        <f>if(TTM!D76="","",iferror(max(min(TTM!D76,1),-0.3),""))</f>
        <v>0.1828234371</v>
      </c>
      <c r="E76" s="14">
        <f>if(TTM!E76="","",iferror(max(min(TTM!E76,1),-0.3),""))</f>
        <v>0.3591896485</v>
      </c>
      <c r="F76" s="14">
        <f>if(TTM!F76="","",iferror(max(min(TTM!F76,1),-0.3),""))</f>
        <v>0.2579751501</v>
      </c>
      <c r="G76" s="14" t="str">
        <f>if(TTM!G76="","",iferror(max(min(TTM!G76,1),-0.3),""))</f>
        <v/>
      </c>
      <c r="H76" s="14">
        <f>if(TTM!H76="","",iferror(max(min(TTM!H76,1),-0.3),""))</f>
        <v>0.02677820353</v>
      </c>
      <c r="I76" s="14" t="str">
        <f>if(TTM!I76="","",iferror(max(min(TTM!I76,1),-0.3),""))</f>
        <v/>
      </c>
      <c r="J76" s="14">
        <f>if(TTM!J76="","",iferror(max(min(TTM!J76,1),-0.3),""))</f>
        <v>0.1589601807</v>
      </c>
      <c r="K76" s="14" t="str">
        <f>if(TTM!K76="","",iferror(max(min(TTM!K76,1),-0.3),""))</f>
        <v/>
      </c>
      <c r="L76" s="14">
        <f>if(TTM!L76="","",iferror(max(min(TTM!L76,1),-0.3),""))</f>
        <v>0.1876204132</v>
      </c>
      <c r="M76" s="14" t="str">
        <f>if(TTM!M76="","",iferror(max(min(TTM!M76,1),-0.3),""))</f>
        <v/>
      </c>
      <c r="N76" s="14" t="str">
        <f>if(TTM!N76="","",iferror(max(min(TTM!N76,1),-0.3),""))</f>
        <v/>
      </c>
      <c r="O76" s="14">
        <f>if(TTM!O76="","",iferror(max(min(TTM!O76,1),-0.3),""))</f>
        <v>-0.0152922312</v>
      </c>
      <c r="P76" s="14" t="str">
        <f>if(TTM!P76="","",iferror(max(min(TTM!P76,1),-0.3),""))</f>
        <v/>
      </c>
      <c r="Q76" s="14" t="str">
        <f>if(TTM!Q76="","",iferror(max(min(TTM!Q76,1),-0.3),""))</f>
        <v/>
      </c>
      <c r="R76" s="14"/>
      <c r="S76" s="14">
        <f>if(TTM!S76="","",iferror(max(min(TTM!S76,1),-0.3),""))</f>
        <v>0.2868666683</v>
      </c>
      <c r="T76" s="14" t="str">
        <f>if(TTM!T76="","",iferror(max(min(TTM!T76,1),-0.3),""))</f>
        <v/>
      </c>
      <c r="U76" s="14" t="str">
        <f>if(TTM!U76="","",iferror(max(min(TTM!U76,1),-0.3),""))</f>
        <v/>
      </c>
      <c r="V76" s="14">
        <f>if(TTM!V76="","",iferror(max(min(TTM!V76,1),-0.3),""))</f>
        <v>0.1003585584</v>
      </c>
      <c r="W76" s="14" t="str">
        <f>if(TTM!W76="","",iferror(max(min(TTM!W76,1),-0.3),""))</f>
        <v/>
      </c>
      <c r="X76" s="14">
        <f>if(TTM!X76="","",iferror(max(min(TTM!X76,1),-0.3),""))</f>
        <v>-0.1272524818</v>
      </c>
      <c r="Y76" s="14">
        <f>if(TTM!Y76="","",iferror(max(min(TTM!Y76,1),-0.3),""))</f>
        <v>0.2374405613</v>
      </c>
      <c r="Z76" s="14" t="str">
        <f>if(TTM!Z76="","",iferror(max(min(TTM!Z76,1),-0.3),""))</f>
        <v/>
      </c>
      <c r="AA76" s="14" t="str">
        <f>if(TTM!AA76="","",iferror(max(min(TTM!AA76,1),-0.3),""))</f>
        <v/>
      </c>
      <c r="AB76" s="14" t="str">
        <f>if(TTM!AB76="","",iferror(max(min(TTM!AB76,1),-0.3),""))</f>
        <v/>
      </c>
      <c r="AC76" s="14" t="str">
        <f>if(TTM!AC76="","",iferror(max(min(TTM!AC76,1),-0.3),""))</f>
        <v/>
      </c>
      <c r="AD76" s="12"/>
    </row>
    <row r="77">
      <c r="A77" s="15" t="s">
        <v>104</v>
      </c>
      <c r="B77" s="14" t="str">
        <f>if(TTM!B77="","",iferror(max(min(TTM!B77,1),-0.3),""))</f>
        <v/>
      </c>
      <c r="C77" s="14">
        <f>if(TTM!C77="","",iferror(max(min(TTM!C77,1),-0.3),""))</f>
        <v>0.1301481289</v>
      </c>
      <c r="D77" s="14">
        <f>if(TTM!D77="","",iferror(max(min(TTM!D77,1),-0.3),""))</f>
        <v>0.1702556819</v>
      </c>
      <c r="E77" s="14">
        <f>if(TTM!E77="","",iferror(max(min(TTM!E77,1),-0.3),""))</f>
        <v>0.378679421</v>
      </c>
      <c r="F77" s="14">
        <f>if(TTM!F77="","",iferror(max(min(TTM!F77,1),-0.3),""))</f>
        <v>0.2277034659</v>
      </c>
      <c r="G77" s="14" t="str">
        <f>if(TTM!G77="","",iferror(max(min(TTM!G77,1),-0.3),""))</f>
        <v/>
      </c>
      <c r="H77" s="14">
        <f>if(TTM!H77="","",iferror(max(min(TTM!H77,1),-0.3),""))</f>
        <v>0.818856534</v>
      </c>
      <c r="I77" s="14" t="str">
        <f>if(TTM!I77="","",iferror(max(min(TTM!I77,1),-0.3),""))</f>
        <v/>
      </c>
      <c r="J77" s="14">
        <f>if(TTM!J77="","",iferror(max(min(TTM!J77,1),-0.3),""))</f>
        <v>0.1465182963</v>
      </c>
      <c r="K77" s="14" t="str">
        <f>if(TTM!K77="","",iferror(max(min(TTM!K77,1),-0.3),""))</f>
        <v/>
      </c>
      <c r="L77" s="14">
        <f>if(TTM!L77="","",iferror(max(min(TTM!L77,1),-0.3),""))</f>
        <v>0.1709181564</v>
      </c>
      <c r="M77" s="14" t="str">
        <f>if(TTM!M77="","",iferror(max(min(TTM!M77,1),-0.3),""))</f>
        <v/>
      </c>
      <c r="N77" s="14" t="str">
        <f>if(TTM!N77="","",iferror(max(min(TTM!N77,1),-0.3),""))</f>
        <v/>
      </c>
      <c r="O77" s="14">
        <f>if(TTM!O77="","",iferror(max(min(TTM!O77,1),-0.3),""))</f>
        <v>0.05189829398</v>
      </c>
      <c r="P77" s="14" t="str">
        <f>if(TTM!P77="","",iferror(max(min(TTM!P77,1),-0.3),""))</f>
        <v/>
      </c>
      <c r="Q77" s="14" t="str">
        <f>if(TTM!Q77="","",iferror(max(min(TTM!Q77,1),-0.3),""))</f>
        <v/>
      </c>
      <c r="R77" s="14"/>
      <c r="S77" s="14">
        <f>if(TTM!S77="","",iferror(max(min(TTM!S77,1),-0.3),""))</f>
        <v>0.4050649877</v>
      </c>
      <c r="T77" s="14" t="str">
        <f>if(TTM!T77="","",iferror(max(min(TTM!T77,1),-0.3),""))</f>
        <v/>
      </c>
      <c r="U77" s="14" t="str">
        <f>if(TTM!U77="","",iferror(max(min(TTM!U77,1),-0.3),""))</f>
        <v/>
      </c>
      <c r="V77" s="14">
        <f>if(TTM!V77="","",iferror(max(min(TTM!V77,1),-0.3),""))</f>
        <v>0.1003585584</v>
      </c>
      <c r="W77" s="14" t="str">
        <f>if(TTM!W77="","",iferror(max(min(TTM!W77,1),-0.3),""))</f>
        <v/>
      </c>
      <c r="X77" s="14">
        <f>if(TTM!X77="","",iferror(max(min(TTM!X77,1),-0.3),""))</f>
        <v>-0.07576661069</v>
      </c>
      <c r="Y77" s="14">
        <f>if(TTM!Y77="","",iferror(max(min(TTM!Y77,1),-0.3),""))</f>
        <v>0.2081147876</v>
      </c>
      <c r="Z77" s="14" t="str">
        <f>if(TTM!Z77="","",iferror(max(min(TTM!Z77,1),-0.3),""))</f>
        <v/>
      </c>
      <c r="AA77" s="14" t="str">
        <f>if(TTM!AA77="","",iferror(max(min(TTM!AA77,1),-0.3),""))</f>
        <v/>
      </c>
      <c r="AB77" s="14" t="str">
        <f>if(TTM!AB77="","",iferror(max(min(TTM!AB77,1),-0.3),""))</f>
        <v/>
      </c>
      <c r="AC77" s="14" t="str">
        <f>if(TTM!AC77="","",iferror(max(min(TTM!AC77,1),-0.3),""))</f>
        <v/>
      </c>
      <c r="AD77" s="12"/>
    </row>
    <row r="78">
      <c r="A78" s="15" t="s">
        <v>105</v>
      </c>
      <c r="B78" s="14" t="str">
        <f>if(TTM!B78="","",iferror(max(min(TTM!B78,1),-0.3),""))</f>
        <v/>
      </c>
      <c r="C78" s="14">
        <f>if(TTM!C78="","",iferror(max(min(TTM!C78,1),-0.3),""))</f>
        <v>0.09263429121</v>
      </c>
      <c r="D78" s="14">
        <f>if(TTM!D78="","",iferror(max(min(TTM!D78,1),-0.3),""))</f>
        <v>0.1576879267</v>
      </c>
      <c r="E78" s="14">
        <f>if(TTM!E78="","",iferror(max(min(TTM!E78,1),-0.3),""))</f>
        <v>0.3981691934</v>
      </c>
      <c r="F78" s="14">
        <f>if(TTM!F78="","",iferror(max(min(TTM!F78,1),-0.3),""))</f>
        <v>0.1974317817</v>
      </c>
      <c r="G78" s="14">
        <f>if(TTM!G78="","",iferror(max(min(TTM!G78,1),-0.3),""))</f>
        <v>0.4293827884</v>
      </c>
      <c r="H78" s="14">
        <f>if(TTM!H78="","",iferror(max(min(TTM!H78,1),-0.3),""))</f>
        <v>1</v>
      </c>
      <c r="I78" s="14" t="str">
        <f>if(TTM!I78="","",iferror(max(min(TTM!I78,1),-0.3),""))</f>
        <v/>
      </c>
      <c r="J78" s="14">
        <f>if(TTM!J78="","",iferror(max(min(TTM!J78,1),-0.3),""))</f>
        <v>0.1340764118</v>
      </c>
      <c r="K78" s="14" t="str">
        <f>if(TTM!K78="","",iferror(max(min(TTM!K78,1),-0.3),""))</f>
        <v/>
      </c>
      <c r="L78" s="14">
        <f>if(TTM!L78="","",iferror(max(min(TTM!L78,1),-0.3),""))</f>
        <v>0.1542158997</v>
      </c>
      <c r="M78" s="14" t="str">
        <f>if(TTM!M78="","",iferror(max(min(TTM!M78,1),-0.3),""))</f>
        <v/>
      </c>
      <c r="N78" s="14" t="str">
        <f>if(TTM!N78="","",iferror(max(min(TTM!N78,1),-0.3),""))</f>
        <v/>
      </c>
      <c r="O78" s="14">
        <f>if(TTM!O78="","",iferror(max(min(TTM!O78,1),-0.3),""))</f>
        <v>0.1190888192</v>
      </c>
      <c r="P78" s="14" t="str">
        <f>if(TTM!P78="","",iferror(max(min(TTM!P78,1),-0.3),""))</f>
        <v/>
      </c>
      <c r="Q78" s="14" t="str">
        <f>if(TTM!Q78="","",iferror(max(min(TTM!Q78,1),-0.3),""))</f>
        <v/>
      </c>
      <c r="R78" s="14"/>
      <c r="S78" s="14">
        <f>if(TTM!S78="","",iferror(max(min(TTM!S78,1),-0.3),""))</f>
        <v>0.5232633071</v>
      </c>
      <c r="T78" s="14" t="str">
        <f>if(TTM!T78="","",iferror(max(min(TTM!T78,1),-0.3),""))</f>
        <v/>
      </c>
      <c r="U78" s="14" t="str">
        <f>if(TTM!U78="","",iferror(max(min(TTM!U78,1),-0.3),""))</f>
        <v/>
      </c>
      <c r="V78" s="14" t="str">
        <f>if(TTM!V78="","",iferror(max(min(TTM!V78,1),-0.3),""))</f>
        <v/>
      </c>
      <c r="W78" s="14" t="str">
        <f>if(TTM!W78="","",iferror(max(min(TTM!W78,1),-0.3),""))</f>
        <v/>
      </c>
      <c r="X78" s="14">
        <f>if(TTM!X78="","",iferror(max(min(TTM!X78,1),-0.3),""))</f>
        <v>-0.02428073957</v>
      </c>
      <c r="Y78" s="14">
        <f>if(TTM!Y78="","",iferror(max(min(TTM!Y78,1),-0.3),""))</f>
        <v>0.1787890139</v>
      </c>
      <c r="Z78" s="14" t="str">
        <f>if(TTM!Z78="","",iferror(max(min(TTM!Z78,1),-0.3),""))</f>
        <v/>
      </c>
      <c r="AA78" s="14" t="str">
        <f>if(TTM!AA78="","",iferror(max(min(TTM!AA78,1),-0.3),""))</f>
        <v/>
      </c>
      <c r="AB78" s="14" t="str">
        <f>if(TTM!AB78="","",iferror(max(min(TTM!AB78,1),-0.3),""))</f>
        <v/>
      </c>
      <c r="AC78" s="14" t="str">
        <f>if(TTM!AC78="","",iferror(max(min(TTM!AC78,1),-0.3),""))</f>
        <v/>
      </c>
      <c r="AD78" s="12"/>
    </row>
    <row r="79">
      <c r="A79" s="15" t="s">
        <v>106</v>
      </c>
      <c r="B79" s="14" t="str">
        <f>if(TTM!B79="","",iferror(max(min(TTM!B79,1),-0.3),""))</f>
        <v/>
      </c>
      <c r="C79" s="14">
        <f>if(TTM!C79="","",iferror(max(min(TTM!C79,1),-0.3),""))</f>
        <v>0.05234681851</v>
      </c>
      <c r="D79" s="14">
        <f>if(TTM!D79="","",iferror(max(min(TTM!D79,1),-0.3),""))</f>
        <v>0.1536240897</v>
      </c>
      <c r="E79" s="14">
        <f>if(TTM!E79="","",iferror(max(min(TTM!E79,1),-0.3),""))</f>
        <v>0.4548830008</v>
      </c>
      <c r="F79" s="14">
        <f>if(TTM!F79="","",iferror(max(min(TTM!F79,1),-0.3),""))</f>
        <v>0.1339987693</v>
      </c>
      <c r="G79" s="14">
        <f>if(TTM!G79="","",iferror(max(min(TTM!G79,1),-0.3),""))</f>
        <v>0.3689714397</v>
      </c>
      <c r="H79" s="14">
        <f>if(TTM!H79="","",iferror(max(min(TTM!H79,1),-0.3),""))</f>
        <v>1</v>
      </c>
      <c r="I79" s="14">
        <f>if(TTM!I79="","",iferror(max(min(TTM!I79,1),-0.3),""))</f>
        <v>-0.09890896846</v>
      </c>
      <c r="J79" s="14">
        <f>if(TTM!J79="","",iferror(max(min(TTM!J79,1),-0.3),""))</f>
        <v>0.1340565363</v>
      </c>
      <c r="K79" s="14" t="str">
        <f>if(TTM!K79="","",iferror(max(min(TTM!K79,1),-0.3),""))</f>
        <v/>
      </c>
      <c r="L79" s="14">
        <f>if(TTM!L79="","",iferror(max(min(TTM!L79,1),-0.3),""))</f>
        <v>-0.1340796847</v>
      </c>
      <c r="M79" s="14" t="str">
        <f>if(TTM!M79="","",iferror(max(min(TTM!M79,1),-0.3),""))</f>
        <v/>
      </c>
      <c r="N79" s="14" t="str">
        <f>if(TTM!N79="","",iferror(max(min(TTM!N79,1),-0.3),""))</f>
        <v/>
      </c>
      <c r="O79" s="14">
        <f>if(TTM!O79="","",iferror(max(min(TTM!O79,1),-0.3),""))</f>
        <v>0.1862793443</v>
      </c>
      <c r="P79" s="14" t="str">
        <f>if(TTM!P79="","",iferror(max(min(TTM!P79,1),-0.3),""))</f>
        <v/>
      </c>
      <c r="Q79" s="14" t="str">
        <f>if(TTM!Q79="","",iferror(max(min(TTM!Q79,1),-0.3),""))</f>
        <v/>
      </c>
      <c r="R79" s="14"/>
      <c r="S79" s="14">
        <f>if(TTM!S79="","",iferror(max(min(TTM!S79,1),-0.3),""))</f>
        <v>0.3959836068</v>
      </c>
      <c r="T79" s="14" t="str">
        <f>if(TTM!T79="","",iferror(max(min(TTM!T79,1),-0.3),""))</f>
        <v/>
      </c>
      <c r="U79" s="14" t="str">
        <f>if(TTM!U79="","",iferror(max(min(TTM!U79,1),-0.3),""))</f>
        <v/>
      </c>
      <c r="V79" s="14" t="str">
        <f>if(TTM!V79="","",iferror(max(min(TTM!V79,1),-0.3),""))</f>
        <v/>
      </c>
      <c r="W79" s="14" t="str">
        <f>if(TTM!W79="","",iferror(max(min(TTM!W79,1),-0.3),""))</f>
        <v/>
      </c>
      <c r="X79" s="14">
        <f>if(TTM!X79="","",iferror(max(min(TTM!X79,1),-0.3),""))</f>
        <v>0.02720513156</v>
      </c>
      <c r="Y79" s="14">
        <f>if(TTM!Y79="","",iferror(max(min(TTM!Y79,1),-0.3),""))</f>
        <v>0.1829796844</v>
      </c>
      <c r="Z79" s="14">
        <f>if(TTM!Z79="","",iferror(max(min(TTM!Z79,1),-0.3),""))</f>
        <v>0.4170744762</v>
      </c>
      <c r="AA79" s="14">
        <f>if(TTM!AA79="","",iferror(max(min(TTM!AA79,1),-0.3),""))</f>
        <v>1</v>
      </c>
      <c r="AB79" s="14" t="str">
        <f>if(TTM!AB79="","",iferror(max(min(TTM!AB79,1),-0.3),""))</f>
        <v/>
      </c>
      <c r="AC79" s="14" t="str">
        <f>if(TTM!AC79="","",iferror(max(min(TTM!AC79,1),-0.3),""))</f>
        <v/>
      </c>
      <c r="AD79" s="12"/>
    </row>
    <row r="80">
      <c r="A80" s="15" t="s">
        <v>107</v>
      </c>
      <c r="B80" s="14" t="str">
        <f>if(TTM!B80="","",iferror(max(min(TTM!B80,1),-0.3),""))</f>
        <v/>
      </c>
      <c r="C80" s="14">
        <f>if(TTM!C80="","",iferror(max(min(TTM!C80,1),-0.3),""))</f>
        <v>0.05629184527</v>
      </c>
      <c r="D80" s="14">
        <f>if(TTM!D80="","",iferror(max(min(TTM!D80,1),-0.3),""))</f>
        <v>0.1933231615</v>
      </c>
      <c r="E80" s="14">
        <f>if(TTM!E80="","",iferror(max(min(TTM!E80,1),-0.3),""))</f>
        <v>0.5127881751</v>
      </c>
      <c r="F80" s="14">
        <f>if(TTM!F80="","",iferror(max(min(TTM!F80,1),-0.3),""))</f>
        <v>0.09670516699</v>
      </c>
      <c r="G80" s="14">
        <f>if(TTM!G80="","",iferror(max(min(TTM!G80,1),-0.3),""))</f>
        <v>0.3450714664</v>
      </c>
      <c r="H80" s="14">
        <f>if(TTM!H80="","",iferror(max(min(TTM!H80,1),-0.3),""))</f>
        <v>1</v>
      </c>
      <c r="I80" s="14">
        <f>if(TTM!I80="","",iferror(max(min(TTM!I80,1),-0.3),""))</f>
        <v>-0.07993863096</v>
      </c>
      <c r="J80" s="14">
        <f>if(TTM!J80="","",iferror(max(min(TTM!J80,1),-0.3),""))</f>
        <v>0.2126259148</v>
      </c>
      <c r="K80" s="14" t="str">
        <f>if(TTM!K80="","",iferror(max(min(TTM!K80,1),-0.3),""))</f>
        <v/>
      </c>
      <c r="L80" s="14">
        <f>if(TTM!L80="","",iferror(max(min(TTM!L80,1),-0.3),""))</f>
        <v>-0.3</v>
      </c>
      <c r="M80" s="14" t="str">
        <f>if(TTM!M80="","",iferror(max(min(TTM!M80,1),-0.3),""))</f>
        <v/>
      </c>
      <c r="N80" s="14" t="str">
        <f>if(TTM!N80="","",iferror(max(min(TTM!N80,1),-0.3),""))</f>
        <v/>
      </c>
      <c r="O80" s="14">
        <f>if(TTM!O80="","",iferror(max(min(TTM!O80,1),-0.3),""))</f>
        <v>0.2534698695</v>
      </c>
      <c r="P80" s="14" t="str">
        <f>if(TTM!P80="","",iferror(max(min(TTM!P80,1),-0.3),""))</f>
        <v/>
      </c>
      <c r="Q80" s="14" t="str">
        <f>if(TTM!Q80="","",iferror(max(min(TTM!Q80,1),-0.3),""))</f>
        <v/>
      </c>
      <c r="R80" s="14"/>
      <c r="S80" s="14">
        <f>if(TTM!S80="","",iferror(max(min(TTM!S80,1),-0.3),""))</f>
        <v>0.2687039064</v>
      </c>
      <c r="T80" s="14" t="str">
        <f>if(TTM!T80="","",iferror(max(min(TTM!T80,1),-0.3),""))</f>
        <v/>
      </c>
      <c r="U80" s="14" t="str">
        <f>if(TTM!U80="","",iferror(max(min(TTM!U80,1),-0.3),""))</f>
        <v/>
      </c>
      <c r="V80" s="14" t="str">
        <f>if(TTM!V80="","",iferror(max(min(TTM!V80,1),-0.3),""))</f>
        <v/>
      </c>
      <c r="W80" s="14" t="str">
        <f>if(TTM!W80="","",iferror(max(min(TTM!W80,1),-0.3),""))</f>
        <v/>
      </c>
      <c r="X80" s="14">
        <f>if(TTM!X80="","",iferror(max(min(TTM!X80,1),-0.3),""))</f>
        <v>0.07869100268</v>
      </c>
      <c r="Y80" s="14">
        <f>if(TTM!Y80="","",iferror(max(min(TTM!Y80,1),-0.3),""))</f>
        <v>0.1871703549</v>
      </c>
      <c r="Z80" s="14">
        <f>if(TTM!Z80="","",iferror(max(min(TTM!Z80,1),-0.3),""))</f>
        <v>0.4170744762</v>
      </c>
      <c r="AA80" s="14">
        <f>if(TTM!AA80="","",iferror(max(min(TTM!AA80,1),-0.3),""))</f>
        <v>1</v>
      </c>
      <c r="AB80" s="14" t="str">
        <f>if(TTM!AB80="","",iferror(max(min(TTM!AB80,1),-0.3),""))</f>
        <v/>
      </c>
      <c r="AC80" s="14" t="str">
        <f>if(TTM!AC80="","",iferror(max(min(TTM!AC80,1),-0.3),""))</f>
        <v/>
      </c>
      <c r="AD80" s="12"/>
    </row>
    <row r="81">
      <c r="A81" s="15" t="s">
        <v>108</v>
      </c>
      <c r="B81" s="14" t="str">
        <f>if(TTM!B81="","",iferror(max(min(TTM!B81,1),-0.3),""))</f>
        <v/>
      </c>
      <c r="C81" s="14">
        <f>if(TTM!C81="","",iferror(max(min(TTM!C81,1),-0.3),""))</f>
        <v>0.1832856144</v>
      </c>
      <c r="D81" s="14">
        <f>if(TTM!D81="","",iferror(max(min(TTM!D81,1),-0.3),""))</f>
        <v>0.2907233287</v>
      </c>
      <c r="E81" s="14">
        <f>if(TTM!E81="","",iferror(max(min(TTM!E81,1),-0.3),""))</f>
        <v>0.6695768003</v>
      </c>
      <c r="F81" s="14">
        <f>if(TTM!F81="","",iferror(max(min(TTM!F81,1),-0.3),""))</f>
        <v>0.07951880333</v>
      </c>
      <c r="G81" s="14">
        <f>if(TTM!G81="","",iferror(max(min(TTM!G81,1),-0.3),""))</f>
        <v>0.4478436117</v>
      </c>
      <c r="H81" s="14">
        <f>if(TTM!H81="","",iferror(max(min(TTM!H81,1),-0.3),""))</f>
        <v>1</v>
      </c>
      <c r="I81" s="14">
        <f>if(TTM!I81="","",iferror(max(min(TTM!I81,1),-0.3),""))</f>
        <v>-0.0514831247</v>
      </c>
      <c r="J81" s="14">
        <f>if(TTM!J81="","",iferror(max(min(TTM!J81,1),-0.3),""))</f>
        <v>0.1784583975</v>
      </c>
      <c r="K81" s="14" t="str">
        <f>if(TTM!K81="","",iferror(max(min(TTM!K81,1),-0.3),""))</f>
        <v/>
      </c>
      <c r="L81" s="14">
        <f>if(TTM!L81="","",iferror(max(min(TTM!L81,1),-0.3),""))</f>
        <v>-0.3</v>
      </c>
      <c r="M81" s="14" t="str">
        <f>if(TTM!M81="","",iferror(max(min(TTM!M81,1),-0.3),""))</f>
        <v/>
      </c>
      <c r="N81" s="14" t="str">
        <f>if(TTM!N81="","",iferror(max(min(TTM!N81,1),-0.3),""))</f>
        <v/>
      </c>
      <c r="O81" s="14">
        <f>if(TTM!O81="","",iferror(max(min(TTM!O81,1),-0.3),""))</f>
        <v>0.2866541263</v>
      </c>
      <c r="P81" s="14" t="str">
        <f>if(TTM!P81="","",iferror(max(min(TTM!P81,1),-0.3),""))</f>
        <v/>
      </c>
      <c r="Q81" s="14" t="str">
        <f>if(TTM!Q81="","",iferror(max(min(TTM!Q81,1),-0.3),""))</f>
        <v/>
      </c>
      <c r="R81" s="14"/>
      <c r="S81" s="14">
        <f>if(TTM!S81="","",iferror(max(min(TTM!S81,1),-0.3),""))</f>
        <v>0.1414242061</v>
      </c>
      <c r="T81" s="14" t="str">
        <f>if(TTM!T81="","",iferror(max(min(TTM!T81,1),-0.3),""))</f>
        <v/>
      </c>
      <c r="U81" s="14" t="str">
        <f>if(TTM!U81="","",iferror(max(min(TTM!U81,1),-0.3),""))</f>
        <v/>
      </c>
      <c r="V81" s="14" t="str">
        <f>if(TTM!V81="","",iferror(max(min(TTM!V81,1),-0.3),""))</f>
        <v/>
      </c>
      <c r="W81" s="14" t="str">
        <f>if(TTM!W81="","",iferror(max(min(TTM!W81,1),-0.3),""))</f>
        <v/>
      </c>
      <c r="X81" s="14">
        <f>if(TTM!X81="","",iferror(max(min(TTM!X81,1),-0.3),""))</f>
        <v>0.06906512918</v>
      </c>
      <c r="Y81" s="14">
        <f>if(TTM!Y81="","",iferror(max(min(TTM!Y81,1),-0.3),""))</f>
        <v>0.1913610253</v>
      </c>
      <c r="Z81" s="14">
        <f>if(TTM!Z81="","",iferror(max(min(TTM!Z81,1),-0.3),""))</f>
        <v>0.4170744762</v>
      </c>
      <c r="AA81" s="14">
        <f>if(TTM!AA81="","",iferror(max(min(TTM!AA81,1),-0.3),""))</f>
        <v>1</v>
      </c>
      <c r="AB81" s="14" t="str">
        <f>if(TTM!AB81="","",iferror(max(min(TTM!AB81,1),-0.3),""))</f>
        <v/>
      </c>
      <c r="AC81" s="14" t="str">
        <f>if(TTM!AC81="","",iferror(max(min(TTM!AC81,1),-0.3),""))</f>
        <v/>
      </c>
      <c r="AD81" s="12"/>
    </row>
    <row r="82">
      <c r="A82" s="15" t="s">
        <v>109</v>
      </c>
      <c r="B82" s="14">
        <f>if(TTM!B82="","",iferror(max(min(TTM!B82,1),-0.3),""))</f>
        <v>0.8014169118</v>
      </c>
      <c r="C82" s="14">
        <f>if(TTM!C82="","",iferror(max(min(TTM!C82,1),-0.3),""))</f>
        <v>0.1646807395</v>
      </c>
      <c r="D82" s="14">
        <f>if(TTM!D82="","",iferror(max(min(TTM!D82,1),-0.3),""))</f>
        <v>0.3149854841</v>
      </c>
      <c r="E82" s="14">
        <f>if(TTM!E82="","",iferror(max(min(TTM!E82,1),-0.3),""))</f>
        <v>0.7644143479</v>
      </c>
      <c r="F82" s="14">
        <f>if(TTM!F82="","",iferror(max(min(TTM!F82,1),-0.3),""))</f>
        <v>-0.008042895442</v>
      </c>
      <c r="G82" s="14">
        <f>if(TTM!G82="","",iferror(max(min(TTM!G82,1),-0.3),""))</f>
        <v>0.4053153856</v>
      </c>
      <c r="H82" s="14">
        <f>if(TTM!H82="","",iferror(max(min(TTM!H82,1),-0.3),""))</f>
        <v>0.5904706186</v>
      </c>
      <c r="I82" s="14">
        <f>if(TTM!I82="","",iferror(max(min(TTM!I82,1),-0.3),""))</f>
        <v>-0.02539891063</v>
      </c>
      <c r="J82" s="14">
        <f>if(TTM!J82="","",iferror(max(min(TTM!J82,1),-0.3),""))</f>
        <v>0.2629612969</v>
      </c>
      <c r="K82" s="14" t="str">
        <f>if(TTM!K82="","",iferror(max(min(TTM!K82,1),-0.3),""))</f>
        <v/>
      </c>
      <c r="L82" s="14">
        <f>if(TTM!L82="","",iferror(max(min(TTM!L82,1),-0.3),""))</f>
        <v>-0.3</v>
      </c>
      <c r="M82" s="14" t="str">
        <f>if(TTM!M82="","",iferror(max(min(TTM!M82,1),-0.3),""))</f>
        <v/>
      </c>
      <c r="N82" s="14" t="str">
        <f>if(TTM!N82="","",iferror(max(min(TTM!N82,1),-0.3),""))</f>
        <v/>
      </c>
      <c r="O82" s="14">
        <f>if(TTM!O82="","",iferror(max(min(TTM!O82,1),-0.3),""))</f>
        <v>0.319838383</v>
      </c>
      <c r="P82" s="14" t="str">
        <f>if(TTM!P82="","",iferror(max(min(TTM!P82,1),-0.3),""))</f>
        <v/>
      </c>
      <c r="Q82" s="14" t="str">
        <f>if(TTM!Q82="","",iferror(max(min(TTM!Q82,1),-0.3),""))</f>
        <v/>
      </c>
      <c r="R82" s="14"/>
      <c r="S82" s="14">
        <f>if(TTM!S82="","",iferror(max(min(TTM!S82,1),-0.3),""))</f>
        <v>0.01414450571</v>
      </c>
      <c r="T82" s="14" t="str">
        <f>if(TTM!T82="","",iferror(max(min(TTM!T82,1),-0.3),""))</f>
        <v/>
      </c>
      <c r="U82" s="14" t="str">
        <f>if(TTM!U82="","",iferror(max(min(TTM!U82,1),-0.3),""))</f>
        <v/>
      </c>
      <c r="V82" s="14" t="str">
        <f>if(TTM!V82="","",iferror(max(min(TTM!V82,1),-0.3),""))</f>
        <v/>
      </c>
      <c r="W82" s="14" t="str">
        <f>if(TTM!W82="","",iferror(max(min(TTM!W82,1),-0.3),""))</f>
        <v/>
      </c>
      <c r="X82" s="14">
        <f>if(TTM!X82="","",iferror(max(min(TTM!X82,1),-0.3),""))</f>
        <v>0.05943925568</v>
      </c>
      <c r="Y82" s="14">
        <f>if(TTM!Y82="","",iferror(max(min(TTM!Y82,1),-0.3),""))</f>
        <v>0.1955516958</v>
      </c>
      <c r="Z82" s="14">
        <f>if(TTM!Z82="","",iferror(max(min(TTM!Z82,1),-0.3),""))</f>
        <v>0.4170744762</v>
      </c>
      <c r="AA82" s="14">
        <f>if(TTM!AA82="","",iferror(max(min(TTM!AA82,1),-0.3),""))</f>
        <v>1</v>
      </c>
      <c r="AB82" s="14" t="str">
        <f>if(TTM!AB82="","",iferror(max(min(TTM!AB82,1),-0.3),""))</f>
        <v/>
      </c>
      <c r="AC82" s="14" t="str">
        <f>if(TTM!AC82="","",iferror(max(min(TTM!AC82,1),-0.3),""))</f>
        <v/>
      </c>
      <c r="AD82" s="12"/>
    </row>
    <row r="83">
      <c r="A83" s="15" t="s">
        <v>110</v>
      </c>
      <c r="B83" s="14">
        <f>if(TTM!B83="","",iferror(max(min(TTM!B83,1),-0.3),""))</f>
        <v>0.7378949706</v>
      </c>
      <c r="C83" s="14">
        <f>if(TTM!C83="","",iferror(max(min(TTM!C83,1),-0.3),""))</f>
        <v>0.2133976282</v>
      </c>
      <c r="D83" s="14">
        <f>if(TTM!D83="","",iferror(max(min(TTM!D83,1),-0.3),""))</f>
        <v>0.3170485578</v>
      </c>
      <c r="E83" s="14">
        <f>if(TTM!E83="","",iferror(max(min(TTM!E83,1),-0.3),""))</f>
        <v>0.6847711453</v>
      </c>
      <c r="F83" s="14">
        <f>if(TTM!F83="","",iferror(max(min(TTM!F83,1),-0.3),""))</f>
        <v>0.02023671704</v>
      </c>
      <c r="G83" s="14">
        <f>if(TTM!G83="","",iferror(max(min(TTM!G83,1),-0.3),""))</f>
        <v>0.5281489167</v>
      </c>
      <c r="H83" s="14">
        <f>if(TTM!H83="","",iferror(max(min(TTM!H83,1),-0.3),""))</f>
        <v>-0.01371024011</v>
      </c>
      <c r="I83" s="14">
        <f>if(TTM!I83="","",iferror(max(min(TTM!I83,1),-0.3),""))</f>
        <v>0.07827306833</v>
      </c>
      <c r="J83" s="14">
        <f>if(TTM!J83="","",iferror(max(min(TTM!J83,1),-0.3),""))</f>
        <v>0.311133497</v>
      </c>
      <c r="K83" s="14" t="str">
        <f>if(TTM!K83="","",iferror(max(min(TTM!K83,1),-0.3),""))</f>
        <v/>
      </c>
      <c r="L83" s="14">
        <f>if(TTM!L83="","",iferror(max(min(TTM!L83,1),-0.3),""))</f>
        <v>-0.3</v>
      </c>
      <c r="M83" s="14" t="str">
        <f>if(TTM!M83="","",iferror(max(min(TTM!M83,1),-0.3),""))</f>
        <v/>
      </c>
      <c r="N83" s="14">
        <f>if(TTM!N83="","",iferror(max(min(TTM!N83,1),-0.3),""))</f>
        <v>0.2599620493</v>
      </c>
      <c r="O83" s="14">
        <f>if(TTM!O83="","",iferror(max(min(TTM!O83,1),-0.3),""))</f>
        <v>0.3530226398</v>
      </c>
      <c r="P83" s="14" t="str">
        <f>if(TTM!P83="","",iferror(max(min(TTM!P83,1),-0.3),""))</f>
        <v/>
      </c>
      <c r="Q83" s="14" t="str">
        <f>if(TTM!Q83="","",iferror(max(min(TTM!Q83,1),-0.3),""))</f>
        <v/>
      </c>
      <c r="R83" s="14"/>
      <c r="S83" s="14">
        <f>if(TTM!S83="","",iferror(max(min(TTM!S83,1),-0.3),""))</f>
        <v>0.04210572043</v>
      </c>
      <c r="T83" s="14" t="str">
        <f>if(TTM!T83="","",iferror(max(min(TTM!T83,1),-0.3),""))</f>
        <v/>
      </c>
      <c r="U83" s="14" t="str">
        <f>if(TTM!U83="","",iferror(max(min(TTM!U83,1),-0.3),""))</f>
        <v/>
      </c>
      <c r="V83" s="14" t="str">
        <f>if(TTM!V83="","",iferror(max(min(TTM!V83,1),-0.3),""))</f>
        <v/>
      </c>
      <c r="W83" s="14" t="str">
        <f>if(TTM!W83="","",iferror(max(min(TTM!W83,1),-0.3),""))</f>
        <v/>
      </c>
      <c r="X83" s="14">
        <f>if(TTM!X83="","",iferror(max(min(TTM!X83,1),-0.3),""))</f>
        <v>0.04981338218</v>
      </c>
      <c r="Y83" s="14">
        <f>if(TTM!Y83="","",iferror(max(min(TTM!Y83,1),-0.3),""))</f>
        <v>0.2681087846</v>
      </c>
      <c r="Z83" s="14">
        <f>if(TTM!Z83="","",iferror(max(min(TTM!Z83,1),-0.3),""))</f>
        <v>0.3969215998</v>
      </c>
      <c r="AA83" s="14">
        <f>if(TTM!AA83="","",iferror(max(min(TTM!AA83,1),-0.3),""))</f>
        <v>1</v>
      </c>
      <c r="AB83" s="14" t="str">
        <f>if(TTM!AB83="","",iferror(max(min(TTM!AB83,1),-0.3),""))</f>
        <v/>
      </c>
      <c r="AC83" s="14">
        <f>if(TTM!AC83="","",iferror(max(min(TTM!AC83,1),-0.3),""))</f>
        <v>0.5877669646</v>
      </c>
      <c r="AD83" s="12"/>
    </row>
    <row r="84">
      <c r="A84" s="15" t="s">
        <v>111</v>
      </c>
      <c r="B84" s="14">
        <f>if(TTM!B84="","",iferror(max(min(TTM!B84,1),-0.3),""))</f>
        <v>0.6743730294</v>
      </c>
      <c r="C84" s="14">
        <f>if(TTM!C84="","",iferror(max(min(TTM!C84,1),-0.3),""))</f>
        <v>0.2321230584</v>
      </c>
      <c r="D84" s="14">
        <f>if(TTM!D84="","",iferror(max(min(TTM!D84,1),-0.3),""))</f>
        <v>0.2823264115</v>
      </c>
      <c r="E84" s="14">
        <f>if(TTM!E84="","",iferror(max(min(TTM!E84,1),-0.3),""))</f>
        <v>0.6256423862</v>
      </c>
      <c r="F84" s="14">
        <f>if(TTM!F84="","",iferror(max(min(TTM!F84,1),-0.3),""))</f>
        <v>0.02927211812</v>
      </c>
      <c r="G84" s="14">
        <f>if(TTM!G84="","",iferror(max(min(TTM!G84,1),-0.3),""))</f>
        <v>0.611373584</v>
      </c>
      <c r="H84" s="14">
        <f>if(TTM!H84="","",iferror(max(min(TTM!H84,1),-0.3),""))</f>
        <v>0.02434682672</v>
      </c>
      <c r="I84" s="14">
        <f>if(TTM!I84="","",iferror(max(min(TTM!I84,1),-0.3),""))</f>
        <v>0.1551388791</v>
      </c>
      <c r="J84" s="14">
        <f>if(TTM!J84="","",iferror(max(min(TTM!J84,1),-0.3),""))</f>
        <v>0.348965404</v>
      </c>
      <c r="K84" s="14" t="str">
        <f>if(TTM!K84="","",iferror(max(min(TTM!K84,1),-0.3),""))</f>
        <v/>
      </c>
      <c r="L84" s="14">
        <f>if(TTM!L84="","",iferror(max(min(TTM!L84,1),-0.3),""))</f>
        <v>-0.3</v>
      </c>
      <c r="M84" s="14" t="str">
        <f>if(TTM!M84="","",iferror(max(min(TTM!M84,1),-0.3),""))</f>
        <v/>
      </c>
      <c r="N84" s="14">
        <f>if(TTM!N84="","",iferror(max(min(TTM!N84,1),-0.3),""))</f>
        <v>0.305396009</v>
      </c>
      <c r="O84" s="14">
        <f>if(TTM!O84="","",iferror(max(min(TTM!O84,1),-0.3),""))</f>
        <v>0.3862068966</v>
      </c>
      <c r="P84" s="14" t="str">
        <f>if(TTM!P84="","",iferror(max(min(TTM!P84,1),-0.3),""))</f>
        <v/>
      </c>
      <c r="Q84" s="14" t="str">
        <f>if(TTM!Q84="","",iferror(max(min(TTM!Q84,1),-0.3),""))</f>
        <v/>
      </c>
      <c r="R84" s="14"/>
      <c r="S84" s="14">
        <f>if(TTM!S84="","",iferror(max(min(TTM!S84,1),-0.3),""))</f>
        <v>0.07006693514</v>
      </c>
      <c r="T84" s="14" t="str">
        <f>if(TTM!T84="","",iferror(max(min(TTM!T84,1),-0.3),""))</f>
        <v/>
      </c>
      <c r="U84" s="14" t="str">
        <f>if(TTM!U84="","",iferror(max(min(TTM!U84,1),-0.3),""))</f>
        <v/>
      </c>
      <c r="V84" s="14" t="str">
        <f>if(TTM!V84="","",iferror(max(min(TTM!V84,1),-0.3),""))</f>
        <v/>
      </c>
      <c r="W84" s="14" t="str">
        <f>if(TTM!W84="","",iferror(max(min(TTM!W84,1),-0.3),""))</f>
        <v/>
      </c>
      <c r="X84" s="14">
        <f>if(TTM!X84="","",iferror(max(min(TTM!X84,1),-0.3),""))</f>
        <v>0.04018750868</v>
      </c>
      <c r="Y84" s="14">
        <f>if(TTM!Y84="","",iferror(max(min(TTM!Y84,1),-0.3),""))</f>
        <v>0.3406658734</v>
      </c>
      <c r="Z84" s="14">
        <f>if(TTM!Z84="","",iferror(max(min(TTM!Z84,1),-0.3),""))</f>
        <v>0.3767687233</v>
      </c>
      <c r="AA84" s="14">
        <f>if(TTM!AA84="","",iferror(max(min(TTM!AA84,1),-0.3),""))</f>
        <v>1</v>
      </c>
      <c r="AB84" s="14" t="str">
        <f>if(TTM!AB84="","",iferror(max(min(TTM!AB84,1),-0.3),""))</f>
        <v/>
      </c>
      <c r="AC84" s="14">
        <f>if(TTM!AC84="","",iferror(max(min(TTM!AC84,1),-0.3),""))</f>
        <v>0.5877669646</v>
      </c>
      <c r="AD84" s="12"/>
    </row>
    <row r="85">
      <c r="A85" s="15" t="s">
        <v>112</v>
      </c>
      <c r="B85" s="14">
        <f>if(TTM!B85="","",iferror(max(min(TTM!B85,1),-0.3),""))</f>
        <v>0.6108510882</v>
      </c>
      <c r="C85" s="14">
        <f>if(TTM!C85="","",iferror(max(min(TTM!C85,1),-0.3),""))</f>
        <v>0.1322977958</v>
      </c>
      <c r="D85" s="14">
        <f>if(TTM!D85="","",iferror(max(min(TTM!D85,1),-0.3),""))</f>
        <v>0.18279601</v>
      </c>
      <c r="E85" s="14">
        <f>if(TTM!E85="","",iferror(max(min(TTM!E85,1),-0.3),""))</f>
        <v>0.4710761684</v>
      </c>
      <c r="F85" s="14">
        <f>if(TTM!F85="","",iferror(max(min(TTM!F85,1),-0.3),""))</f>
        <v>0.007789372453</v>
      </c>
      <c r="G85" s="14">
        <f>if(TTM!G85="","",iferror(max(min(TTM!G85,1),-0.3),""))</f>
        <v>0.442612017</v>
      </c>
      <c r="H85" s="14">
        <f>if(TTM!H85="","",iferror(max(min(TTM!H85,1),-0.3),""))</f>
        <v>0.05098487917</v>
      </c>
      <c r="I85" s="14">
        <f>if(TTM!I85="","",iferror(max(min(TTM!I85,1),-0.3),""))</f>
        <v>0.2138479448</v>
      </c>
      <c r="J85" s="14">
        <f>if(TTM!J85="","",iferror(max(min(TTM!J85,1),-0.3),""))</f>
        <v>0.563317663</v>
      </c>
      <c r="K85" s="14" t="str">
        <f>if(TTM!K85="","",iferror(max(min(TTM!K85,1),-0.3),""))</f>
        <v/>
      </c>
      <c r="L85" s="14">
        <f>if(TTM!L85="","",iferror(max(min(TTM!L85,1),-0.3),""))</f>
        <v>-0.3</v>
      </c>
      <c r="M85" s="14" t="str">
        <f>if(TTM!M85="","",iferror(max(min(TTM!M85,1),-0.3),""))</f>
        <v/>
      </c>
      <c r="N85" s="14">
        <f>if(TTM!N85="","",iferror(max(min(TTM!N85,1),-0.3),""))</f>
        <v>0.2910099267</v>
      </c>
      <c r="O85" s="14">
        <f>if(TTM!O85="","",iferror(max(min(TTM!O85,1),-0.3),""))</f>
        <v>0.9245165797</v>
      </c>
      <c r="P85" s="14" t="str">
        <f>if(TTM!P85="","",iferror(max(min(TTM!P85,1),-0.3),""))</f>
        <v/>
      </c>
      <c r="Q85" s="14" t="str">
        <f>if(TTM!Q85="","",iferror(max(min(TTM!Q85,1),-0.3),""))</f>
        <v/>
      </c>
      <c r="R85" s="14"/>
      <c r="S85" s="14">
        <f>if(TTM!S85="","",iferror(max(min(TTM!S85,1),-0.3),""))</f>
        <v>0.09802814985</v>
      </c>
      <c r="T85" s="14" t="str">
        <f>if(TTM!T85="","",iferror(max(min(TTM!T85,1),-0.3),""))</f>
        <v/>
      </c>
      <c r="U85" s="14" t="str">
        <f>if(TTM!U85="","",iferror(max(min(TTM!U85,1),-0.3),""))</f>
        <v/>
      </c>
      <c r="V85" s="14" t="str">
        <f>if(TTM!V85="","",iferror(max(min(TTM!V85,1),-0.3),""))</f>
        <v/>
      </c>
      <c r="W85" s="14" t="str">
        <f>if(TTM!W85="","",iferror(max(min(TTM!W85,1),-0.3),""))</f>
        <v/>
      </c>
      <c r="X85" s="14">
        <f>if(TTM!X85="","",iferror(max(min(TTM!X85,1),-0.3),""))</f>
        <v>0.04555375522</v>
      </c>
      <c r="Y85" s="14">
        <f>if(TTM!Y85="","",iferror(max(min(TTM!Y85,1),-0.3),""))</f>
        <v>0.4132229623</v>
      </c>
      <c r="Z85" s="14">
        <f>if(TTM!Z85="","",iferror(max(min(TTM!Z85,1),-0.3),""))</f>
        <v>0.3566158469</v>
      </c>
      <c r="AA85" s="14">
        <f>if(TTM!AA85="","",iferror(max(min(TTM!AA85,1),-0.3),""))</f>
        <v>1</v>
      </c>
      <c r="AB85" s="14" t="str">
        <f>if(TTM!AB85="","",iferror(max(min(TTM!AB85,1),-0.3),""))</f>
        <v/>
      </c>
      <c r="AC85" s="14">
        <f>if(TTM!AC85="","",iferror(max(min(TTM!AC85,1),-0.3),""))</f>
        <v>0.5877669646</v>
      </c>
      <c r="AD85" s="12"/>
    </row>
    <row r="86">
      <c r="A86" s="15" t="s">
        <v>113</v>
      </c>
      <c r="B86" s="14">
        <f>if(TTM!B86="","",iferror(max(min(TTM!B86,1),-0.3),""))</f>
        <v>0.5473291471</v>
      </c>
      <c r="C86" s="14">
        <f>if(TTM!C86="","",iferror(max(min(TTM!C86,1),-0.3),""))</f>
        <v>0.1761895835</v>
      </c>
      <c r="D86" s="14">
        <f>if(TTM!D86="","",iferror(max(min(TTM!D86,1),-0.3),""))</f>
        <v>0.1461066174</v>
      </c>
      <c r="E86" s="14">
        <f>if(TTM!E86="","",iferror(max(min(TTM!E86,1),-0.3),""))</f>
        <v>0.3577955183</v>
      </c>
      <c r="F86" s="14">
        <f>if(TTM!F86="","",iferror(max(min(TTM!F86,1),-0.3),""))</f>
        <v>0.04994882201</v>
      </c>
      <c r="G86" s="14">
        <f>if(TTM!G86="","",iferror(max(min(TTM!G86,1),-0.3),""))</f>
        <v>0.3963492796</v>
      </c>
      <c r="H86" s="14">
        <f>if(TTM!H86="","",iferror(max(min(TTM!H86,1),-0.3),""))</f>
        <v>0.04526905752</v>
      </c>
      <c r="I86" s="14">
        <f>if(TTM!I86="","",iferror(max(min(TTM!I86,1),-0.3),""))</f>
        <v>0.2749836111</v>
      </c>
      <c r="J86" s="14">
        <f>if(TTM!J86="","",iferror(max(min(TTM!J86,1),-0.3),""))</f>
        <v>0.5489691399</v>
      </c>
      <c r="K86" s="14" t="str">
        <f>if(TTM!K86="","",iferror(max(min(TTM!K86,1),-0.3),""))</f>
        <v/>
      </c>
      <c r="L86" s="14">
        <f>if(TTM!L86="","",iferror(max(min(TTM!L86,1),-0.3),""))</f>
        <v>-0.001949626737</v>
      </c>
      <c r="M86" s="14" t="str">
        <f>if(TTM!M86="","",iferror(max(min(TTM!M86,1),-0.3),""))</f>
        <v/>
      </c>
      <c r="N86" s="14">
        <f>if(TTM!N86="","",iferror(max(min(TTM!N86,1),-0.3),""))</f>
        <v>0.3238535521</v>
      </c>
      <c r="O86" s="14">
        <f>if(TTM!O86="","",iferror(max(min(TTM!O86,1),-0.3),""))</f>
        <v>1</v>
      </c>
      <c r="P86" s="14" t="str">
        <f>if(TTM!P86="","",iferror(max(min(TTM!P86,1),-0.3),""))</f>
        <v/>
      </c>
      <c r="Q86" s="14" t="str">
        <f>if(TTM!Q86="","",iferror(max(min(TTM!Q86,1),-0.3),""))</f>
        <v/>
      </c>
      <c r="R86" s="14"/>
      <c r="S86" s="14">
        <f>if(TTM!S86="","",iferror(max(min(TTM!S86,1),-0.3),""))</f>
        <v>0.1259893646</v>
      </c>
      <c r="T86" s="14" t="str">
        <f>if(TTM!T86="","",iferror(max(min(TTM!T86,1),-0.3),""))</f>
        <v/>
      </c>
      <c r="U86" s="14" t="str">
        <f>if(TTM!U86="","",iferror(max(min(TTM!U86,1),-0.3),""))</f>
        <v/>
      </c>
      <c r="V86" s="14" t="str">
        <f>if(TTM!V86="","",iferror(max(min(TTM!V86,1),-0.3),""))</f>
        <v/>
      </c>
      <c r="W86" s="14" t="str">
        <f>if(TTM!W86="","",iferror(max(min(TTM!W86,1),-0.3),""))</f>
        <v/>
      </c>
      <c r="X86" s="14">
        <f>if(TTM!X86="","",iferror(max(min(TTM!X86,1),-0.3),""))</f>
        <v>0.05092000176</v>
      </c>
      <c r="Y86" s="14">
        <f>if(TTM!Y86="","",iferror(max(min(TTM!Y86,1),-0.3),""))</f>
        <v>0.4857800511</v>
      </c>
      <c r="Z86" s="14">
        <f>if(TTM!Z86="","",iferror(max(min(TTM!Z86,1),-0.3),""))</f>
        <v>0.3364629705</v>
      </c>
      <c r="AA86" s="14">
        <f>if(TTM!AA86="","",iferror(max(min(TTM!AA86,1),-0.3),""))</f>
        <v>1</v>
      </c>
      <c r="AB86" s="14" t="str">
        <f>if(TTM!AB86="","",iferror(max(min(TTM!AB86,1),-0.3),""))</f>
        <v/>
      </c>
      <c r="AC86" s="14">
        <f>if(TTM!AC86="","",iferror(max(min(TTM!AC86,1),-0.3),""))</f>
        <v>0.5877669646</v>
      </c>
      <c r="AD86" s="12"/>
    </row>
    <row r="87">
      <c r="A87" s="15" t="s">
        <v>114</v>
      </c>
      <c r="B87" s="14">
        <f>if(TTM!B87="","",iferror(max(min(TTM!B87,1),-0.3),""))</f>
        <v>0.5168964253</v>
      </c>
      <c r="C87" s="14">
        <f>if(TTM!C87="","",iferror(max(min(TTM!C87,1),-0.3),""))</f>
        <v>0.1971762163</v>
      </c>
      <c r="D87" s="14">
        <f>if(TTM!D87="","",iferror(max(min(TTM!D87,1),-0.3),""))</f>
        <v>0.1451175597</v>
      </c>
      <c r="E87" s="14">
        <f>if(TTM!E87="","",iferror(max(min(TTM!E87,1),-0.3),""))</f>
        <v>0.3339323345</v>
      </c>
      <c r="F87" s="14">
        <f>if(TTM!F87="","",iferror(max(min(TTM!F87,1),-0.3),""))</f>
        <v>0.03977653462</v>
      </c>
      <c r="G87" s="14">
        <f>if(TTM!G87="","",iferror(max(min(TTM!G87,1),-0.3),""))</f>
        <v>0.2188472458</v>
      </c>
      <c r="H87" s="14">
        <f>if(TTM!H87="","",iferror(max(min(TTM!H87,1),-0.3),""))</f>
        <v>0.09516806521</v>
      </c>
      <c r="I87" s="14">
        <f>if(TTM!I87="","",iferror(max(min(TTM!I87,1),-0.3),""))</f>
        <v>0.2432272517</v>
      </c>
      <c r="J87" s="14">
        <f>if(TTM!J87="","",iferror(max(min(TTM!J87,1),-0.3),""))</f>
        <v>0.5366384141</v>
      </c>
      <c r="K87" s="14" t="str">
        <f>if(TTM!K87="","",iferror(max(min(TTM!K87,1),-0.3),""))</f>
        <v/>
      </c>
      <c r="L87" s="14">
        <f>if(TTM!L87="","",iferror(max(min(TTM!L87,1),-0.3),""))</f>
        <v>0.03327515822</v>
      </c>
      <c r="M87" s="14" t="str">
        <f>if(TTM!M87="","",iferror(max(min(TTM!M87,1),-0.3),""))</f>
        <v/>
      </c>
      <c r="N87" s="14">
        <f>if(TTM!N87="","",iferror(max(min(TTM!N87,1),-0.3),""))</f>
        <v>0.387439847</v>
      </c>
      <c r="O87" s="14">
        <f>if(TTM!O87="","",iferror(max(min(TTM!O87,1),-0.3),""))</f>
        <v>1</v>
      </c>
      <c r="P87" s="14" t="str">
        <f>if(TTM!P87="","",iferror(max(min(TTM!P87,1),-0.3),""))</f>
        <v/>
      </c>
      <c r="Q87" s="14" t="str">
        <f>if(TTM!Q87="","",iferror(max(min(TTM!Q87,1),-0.3),""))</f>
        <v/>
      </c>
      <c r="R87" s="14"/>
      <c r="S87" s="14">
        <f>if(TTM!S87="","",iferror(max(min(TTM!S87,1),-0.3),""))</f>
        <v>0.1127530611</v>
      </c>
      <c r="T87" s="14" t="str">
        <f>if(TTM!T87="","",iferror(max(min(TTM!T87,1),-0.3),""))</f>
        <v/>
      </c>
      <c r="U87" s="14" t="str">
        <f>if(TTM!U87="","",iferror(max(min(TTM!U87,1),-0.3),""))</f>
        <v/>
      </c>
      <c r="V87" s="14" t="str">
        <f>if(TTM!V87="","",iferror(max(min(TTM!V87,1),-0.3),""))</f>
        <v/>
      </c>
      <c r="W87" s="14" t="str">
        <f>if(TTM!W87="","",iferror(max(min(TTM!W87,1),-0.3),""))</f>
        <v/>
      </c>
      <c r="X87" s="14">
        <f>if(TTM!X87="","",iferror(max(min(TTM!X87,1),-0.3),""))</f>
        <v>0.0562862483</v>
      </c>
      <c r="Y87" s="14">
        <f>if(TTM!Y87="","",iferror(max(min(TTM!Y87,1),-0.3),""))</f>
        <v>0.4010833312</v>
      </c>
      <c r="Z87" s="14">
        <f>if(TTM!Z87="","",iferror(max(min(TTM!Z87,1),-0.3),""))</f>
        <v>0.3352011119</v>
      </c>
      <c r="AA87" s="14">
        <f>if(TTM!AA87="","",iferror(max(min(TTM!AA87,1),-0.3),""))</f>
        <v>1</v>
      </c>
      <c r="AB87" s="14">
        <f>if(TTM!AB87="","",iferror(max(min(TTM!AB87,1),-0.3),""))</f>
        <v>-0.03388145632</v>
      </c>
      <c r="AC87" s="14">
        <f>if(TTM!AC87="","",iferror(max(min(TTM!AC87,1),-0.3),""))</f>
        <v>0.6324827895</v>
      </c>
      <c r="AD87" s="12"/>
    </row>
    <row r="88">
      <c r="A88" s="15" t="s">
        <v>115</v>
      </c>
      <c r="B88" s="14">
        <f>if(TTM!B88="","",iferror(max(min(TTM!B88,1),-0.3),""))</f>
        <v>0.4864637035</v>
      </c>
      <c r="C88" s="14">
        <f>if(TTM!C88="","",iferror(max(min(TTM!C88,1),-0.3),""))</f>
        <v>0.1937119171</v>
      </c>
      <c r="D88" s="14">
        <f>if(TTM!D88="","",iferror(max(min(TTM!D88,1),-0.3),""))</f>
        <v>0.1291409264</v>
      </c>
      <c r="E88" s="14">
        <f>if(TTM!E88="","",iferror(max(min(TTM!E88,1),-0.3),""))</f>
        <v>0.2773240093</v>
      </c>
      <c r="F88" s="14">
        <f>if(TTM!F88="","",iferror(max(min(TTM!F88,1),-0.3),""))</f>
        <v>0.02398339415</v>
      </c>
      <c r="G88" s="14">
        <f>if(TTM!G88="","",iferror(max(min(TTM!G88,1),-0.3),""))</f>
        <v>-0.0008983692016</v>
      </c>
      <c r="H88" s="14">
        <f>if(TTM!H88="","",iferror(max(min(TTM!H88,1),-0.3),""))</f>
        <v>0.0605385584</v>
      </c>
      <c r="I88" s="14">
        <f>if(TTM!I88="","",iferror(max(min(TTM!I88,1),-0.3),""))</f>
        <v>0.1914412006</v>
      </c>
      <c r="J88" s="14">
        <f>if(TTM!J88="","",iferror(max(min(TTM!J88,1),-0.3),""))</f>
        <v>0.3186955981</v>
      </c>
      <c r="K88" s="14" t="str">
        <f>if(TTM!K88="","",iferror(max(min(TTM!K88,1),-0.3),""))</f>
        <v/>
      </c>
      <c r="L88" s="14">
        <f>if(TTM!L88="","",iferror(max(min(TTM!L88,1),-0.3),""))</f>
        <v>0.03397214025</v>
      </c>
      <c r="M88" s="14" t="str">
        <f>if(TTM!M88="","",iferror(max(min(TTM!M88,1),-0.3),""))</f>
        <v/>
      </c>
      <c r="N88" s="14">
        <f>if(TTM!N88="","",iferror(max(min(TTM!N88,1),-0.3),""))</f>
        <v>0.4104928995</v>
      </c>
      <c r="O88" s="14">
        <f>if(TTM!O88="","",iferror(max(min(TTM!O88,1),-0.3),""))</f>
        <v>1</v>
      </c>
      <c r="P88" s="14" t="str">
        <f>if(TTM!P88="","",iferror(max(min(TTM!P88,1),-0.3),""))</f>
        <v/>
      </c>
      <c r="Q88" s="14" t="str">
        <f>if(TTM!Q88="","",iferror(max(min(TTM!Q88,1),-0.3),""))</f>
        <v/>
      </c>
      <c r="R88" s="14"/>
      <c r="S88" s="14">
        <f>if(TTM!S88="","",iferror(max(min(TTM!S88,1),-0.3),""))</f>
        <v>0.09951675757</v>
      </c>
      <c r="T88" s="14">
        <f>if(TTM!T88="","",iferror(max(min(TTM!T88,1),-0.3),""))</f>
        <v>0.6564014705</v>
      </c>
      <c r="U88" s="14" t="str">
        <f>if(TTM!U88="","",iferror(max(min(TTM!U88,1),-0.3),""))</f>
        <v/>
      </c>
      <c r="V88" s="14" t="str">
        <f>if(TTM!V88="","",iferror(max(min(TTM!V88,1),-0.3),""))</f>
        <v/>
      </c>
      <c r="W88" s="14" t="str">
        <f>if(TTM!W88="","",iferror(max(min(TTM!W88,1),-0.3),""))</f>
        <v/>
      </c>
      <c r="X88" s="14">
        <f>if(TTM!X88="","",iferror(max(min(TTM!X88,1),-0.3),""))</f>
        <v>0.06165249484</v>
      </c>
      <c r="Y88" s="14">
        <f>if(TTM!Y88="","",iferror(max(min(TTM!Y88,1),-0.3),""))</f>
        <v>0.3163866114</v>
      </c>
      <c r="Z88" s="14">
        <f>if(TTM!Z88="","",iferror(max(min(TTM!Z88,1),-0.3),""))</f>
        <v>0.3339392533</v>
      </c>
      <c r="AA88" s="14">
        <f>if(TTM!AA88="","",iferror(max(min(TTM!AA88,1),-0.3),""))</f>
        <v>1</v>
      </c>
      <c r="AB88" s="14">
        <f>if(TTM!AB88="","",iferror(max(min(TTM!AB88,1),-0.3),""))</f>
        <v>-0.03388145632</v>
      </c>
      <c r="AC88" s="14">
        <f>if(TTM!AC88="","",iferror(max(min(TTM!AC88,1),-0.3),""))</f>
        <v>0.6771986145</v>
      </c>
      <c r="AD88" s="12"/>
    </row>
    <row r="89">
      <c r="A89" s="15" t="s">
        <v>116</v>
      </c>
      <c r="B89" s="14">
        <f>if(TTM!B89="","",iferror(max(min(TTM!B89,1),-0.3),""))</f>
        <v>0.4560309817</v>
      </c>
      <c r="C89" s="14">
        <f>if(TTM!C89="","",iferror(max(min(TTM!C89,1),-0.3),""))</f>
        <v>0.1667868611</v>
      </c>
      <c r="D89" s="14">
        <f>if(TTM!D89="","",iferror(max(min(TTM!D89,1),-0.3),""))</f>
        <v>0.1179786463</v>
      </c>
      <c r="E89" s="14">
        <f>if(TTM!E89="","",iferror(max(min(TTM!E89,1),-0.3),""))</f>
        <v>0.2115124806</v>
      </c>
      <c r="F89" s="14">
        <f>if(TTM!F89="","",iferror(max(min(TTM!F89,1),-0.3),""))</f>
        <v>0.0241146036</v>
      </c>
      <c r="G89" s="14">
        <f>if(TTM!G89="","",iferror(max(min(TTM!G89,1),-0.3),""))</f>
        <v>-0.07194355578</v>
      </c>
      <c r="H89" s="14">
        <f>if(TTM!H89="","",iferror(max(min(TTM!H89,1),-0.3),""))</f>
        <v>0.0444875087</v>
      </c>
      <c r="I89" s="14">
        <f>if(TTM!I89="","",iferror(max(min(TTM!I89,1),-0.3),""))</f>
        <v>0.1119388742</v>
      </c>
      <c r="J89" s="14">
        <f>if(TTM!J89="","",iferror(max(min(TTM!J89,1),-0.3),""))</f>
        <v>0.02748986622</v>
      </c>
      <c r="K89" s="14" t="str">
        <f>if(TTM!K89="","",iferror(max(min(TTM!K89,1),-0.3),""))</f>
        <v/>
      </c>
      <c r="L89" s="14">
        <f>if(TTM!L89="","",iferror(max(min(TTM!L89,1),-0.3),""))</f>
        <v>0.05170833952</v>
      </c>
      <c r="M89" s="14" t="str">
        <f>if(TTM!M89="","",iferror(max(min(TTM!M89,1),-0.3),""))</f>
        <v/>
      </c>
      <c r="N89" s="14">
        <f>if(TTM!N89="","",iferror(max(min(TTM!N89,1),-0.3),""))</f>
        <v>0.4877466322</v>
      </c>
      <c r="O89" s="14">
        <f>if(TTM!O89="","",iferror(max(min(TTM!O89,1),-0.3),""))</f>
        <v>1</v>
      </c>
      <c r="P89" s="14" t="str">
        <f>if(TTM!P89="","",iferror(max(min(TTM!P89,1),-0.3),""))</f>
        <v/>
      </c>
      <c r="Q89" s="14" t="str">
        <f>if(TTM!Q89="","",iferror(max(min(TTM!Q89,1),-0.3),""))</f>
        <v/>
      </c>
      <c r="R89" s="14"/>
      <c r="S89" s="14">
        <f>if(TTM!S89="","",iferror(max(min(TTM!S89,1),-0.3),""))</f>
        <v>0.08628045407</v>
      </c>
      <c r="T89" s="14">
        <f>if(TTM!T89="","",iferror(max(min(TTM!T89,1),-0.3),""))</f>
        <v>0.3486730578</v>
      </c>
      <c r="U89" s="14" t="str">
        <f>if(TTM!U89="","",iferror(max(min(TTM!U89,1),-0.3),""))</f>
        <v/>
      </c>
      <c r="V89" s="14" t="str">
        <f>if(TTM!V89="","",iferror(max(min(TTM!V89,1),-0.3),""))</f>
        <v/>
      </c>
      <c r="W89" s="14" t="str">
        <f>if(TTM!W89="","",iferror(max(min(TTM!W89,1),-0.3),""))</f>
        <v/>
      </c>
      <c r="X89" s="14">
        <f>if(TTM!X89="","",iferror(max(min(TTM!X89,1),-0.3),""))</f>
        <v>0.04246201676</v>
      </c>
      <c r="Y89" s="14">
        <f>if(TTM!Y89="","",iferror(max(min(TTM!Y89,1),-0.3),""))</f>
        <v>0.2316898915</v>
      </c>
      <c r="Z89" s="14">
        <f>if(TTM!Z89="","",iferror(max(min(TTM!Z89,1),-0.3),""))</f>
        <v>0.3326773947</v>
      </c>
      <c r="AA89" s="14">
        <f>if(TTM!AA89="","",iferror(max(min(TTM!AA89,1),-0.3),""))</f>
        <v>0.730896953</v>
      </c>
      <c r="AB89" s="14">
        <f>if(TTM!AB89="","",iferror(max(min(TTM!AB89,1),-0.3),""))</f>
        <v>-0.03388145632</v>
      </c>
      <c r="AC89" s="14">
        <f>if(TTM!AC89="","",iferror(max(min(TTM!AC89,1),-0.3),""))</f>
        <v>0.7219144395</v>
      </c>
      <c r="AD89" s="12"/>
    </row>
    <row r="90">
      <c r="A90" s="15" t="s">
        <v>117</v>
      </c>
      <c r="B90" s="14">
        <f>if(TTM!B90="","",iferror(max(min(TTM!B90,1),-0.3),""))</f>
        <v>0.4255982599</v>
      </c>
      <c r="C90" s="14">
        <f>if(TTM!C90="","",iferror(max(min(TTM!C90,1),-0.3),""))</f>
        <v>0.1549093384</v>
      </c>
      <c r="D90" s="14">
        <f>if(TTM!D90="","",iferror(max(min(TTM!D90,1),-0.3),""))</f>
        <v>0.1168571231</v>
      </c>
      <c r="E90" s="14">
        <f>if(TTM!E90="","",iferror(max(min(TTM!E90,1),-0.3),""))</f>
        <v>0.1595124752</v>
      </c>
      <c r="F90" s="14">
        <f>if(TTM!F90="","",iferror(max(min(TTM!F90,1),-0.3),""))</f>
        <v>0.03962931238</v>
      </c>
      <c r="G90" s="14">
        <f>if(TTM!G90="","",iferror(max(min(TTM!G90,1),-0.3),""))</f>
        <v>-0.110830938</v>
      </c>
      <c r="H90" s="14">
        <f>if(TTM!H90="","",iferror(max(min(TTM!H90,1),-0.3),""))</f>
        <v>0.05385038116</v>
      </c>
      <c r="I90" s="14">
        <f>if(TTM!I90="","",iferror(max(min(TTM!I90,1),-0.3),""))</f>
        <v>0.01763296625</v>
      </c>
      <c r="J90" s="14">
        <f>if(TTM!J90="","",iferror(max(min(TTM!J90,1),-0.3),""))</f>
        <v>-0.1421577155</v>
      </c>
      <c r="K90" s="14" t="str">
        <f>if(TTM!K90="","",iferror(max(min(TTM!K90,1),-0.3),""))</f>
        <v/>
      </c>
      <c r="L90" s="14">
        <f>if(TTM!L90="","",iferror(max(min(TTM!L90,1),-0.3),""))</f>
        <v>-0.06734953644</v>
      </c>
      <c r="M90" s="14" t="str">
        <f>if(TTM!M90="","",iferror(max(min(TTM!M90,1),-0.3),""))</f>
        <v/>
      </c>
      <c r="N90" s="14">
        <f>if(TTM!N90="","",iferror(max(min(TTM!N90,1),-0.3),""))</f>
        <v>0.6042682125</v>
      </c>
      <c r="O90" s="14">
        <f>if(TTM!O90="","",iferror(max(min(TTM!O90,1),-0.3),""))</f>
        <v>0.9727828422</v>
      </c>
      <c r="P90" s="14" t="str">
        <f>if(TTM!P90="","",iferror(max(min(TTM!P90,1),-0.3),""))</f>
        <v/>
      </c>
      <c r="Q90" s="14" t="str">
        <f>if(TTM!Q90="","",iferror(max(min(TTM!Q90,1),-0.3),""))</f>
        <v/>
      </c>
      <c r="R90" s="14"/>
      <c r="S90" s="14">
        <f>if(TTM!S90="","",iferror(max(min(TTM!S90,1),-0.3),""))</f>
        <v>0.07304415057</v>
      </c>
      <c r="T90" s="14">
        <f>if(TTM!T90="","",iferror(max(min(TTM!T90,1),-0.3),""))</f>
        <v>0.04094464503</v>
      </c>
      <c r="U90" s="14" t="str">
        <f>if(TTM!U90="","",iferror(max(min(TTM!U90,1),-0.3),""))</f>
        <v/>
      </c>
      <c r="V90" s="14" t="str">
        <f>if(TTM!V90="","",iferror(max(min(TTM!V90,1),-0.3),""))</f>
        <v/>
      </c>
      <c r="W90" s="14" t="str">
        <f>if(TTM!W90="","",iferror(max(min(TTM!W90,1),-0.3),""))</f>
        <v/>
      </c>
      <c r="X90" s="14">
        <f>if(TTM!X90="","",iferror(max(min(TTM!X90,1),-0.3),""))</f>
        <v>0.02327153867</v>
      </c>
      <c r="Y90" s="14">
        <f>if(TTM!Y90="","",iferror(max(min(TTM!Y90,1),-0.3),""))</f>
        <v>0.1469931716</v>
      </c>
      <c r="Z90" s="14">
        <f>if(TTM!Z90="","",iferror(max(min(TTM!Z90,1),-0.3),""))</f>
        <v>0.3314155362</v>
      </c>
      <c r="AA90" s="14">
        <f>if(TTM!AA90="","",iferror(max(min(TTM!AA90,1),-0.3),""))</f>
        <v>0.4352284075</v>
      </c>
      <c r="AB90" s="14">
        <f>if(TTM!AB90="","",iferror(max(min(TTM!AB90,1),-0.3),""))</f>
        <v>-0.03388145632</v>
      </c>
      <c r="AC90" s="14">
        <f>if(TTM!AC90="","",iferror(max(min(TTM!AC90,1),-0.3),""))</f>
        <v>0.7666302645</v>
      </c>
      <c r="AD90" s="12"/>
    </row>
    <row r="91">
      <c r="A91" s="15" t="s">
        <v>118</v>
      </c>
      <c r="B91" s="14">
        <f>if(TTM!B91="","",iferror(max(min(TTM!B91,1),-0.3),""))</f>
        <v>0.2989367689</v>
      </c>
      <c r="C91" s="14">
        <f>if(TTM!C91="","",iferror(max(min(TTM!C91,1),-0.3),""))</f>
        <v>0.09454828065</v>
      </c>
      <c r="D91" s="14">
        <f>if(TTM!D91="","",iferror(max(min(TTM!D91,1),-0.3),""))</f>
        <v>0.09049274539</v>
      </c>
      <c r="E91" s="14">
        <f>if(TTM!E91="","",iferror(max(min(TTM!E91,1),-0.3),""))</f>
        <v>0.1389685018</v>
      </c>
      <c r="F91" s="14">
        <f>if(TTM!F91="","",iferror(max(min(TTM!F91,1),-0.3),""))</f>
        <v>0.03427430299</v>
      </c>
      <c r="G91" s="14">
        <f>if(TTM!G91="","",iferror(max(min(TTM!G91,1),-0.3),""))</f>
        <v>-0.1516810128</v>
      </c>
      <c r="H91" s="14">
        <f>if(TTM!H91="","",iferror(max(min(TTM!H91,1),-0.3),""))</f>
        <v>0.02735040284</v>
      </c>
      <c r="I91" s="14">
        <f>if(TTM!I91="","",iferror(max(min(TTM!I91,1),-0.3),""))</f>
        <v>-0.05562157857</v>
      </c>
      <c r="J91" s="14">
        <f>if(TTM!J91="","",iferror(max(min(TTM!J91,1),-0.3),""))</f>
        <v>-0.280442583</v>
      </c>
      <c r="K91" s="14" t="str">
        <f>if(TTM!K91="","",iferror(max(min(TTM!K91,1),-0.3),""))</f>
        <v/>
      </c>
      <c r="L91" s="14">
        <f>if(TTM!L91="","",iferror(max(min(TTM!L91,1),-0.3),""))</f>
        <v>-0.1685685305</v>
      </c>
      <c r="M91" s="14" t="str">
        <f>if(TTM!M91="","",iferror(max(min(TTM!M91,1),-0.3),""))</f>
        <v/>
      </c>
      <c r="N91" s="14">
        <f>if(TTM!N91="","",iferror(max(min(TTM!N91,1),-0.3),""))</f>
        <v>0.6036749955</v>
      </c>
      <c r="O91" s="14">
        <f>if(TTM!O91="","",iferror(max(min(TTM!O91,1),-0.3),""))</f>
        <v>0.1985764444</v>
      </c>
      <c r="P91" s="14" t="str">
        <f>if(TTM!P91="","",iferror(max(min(TTM!P91,1),-0.3),""))</f>
        <v/>
      </c>
      <c r="Q91" s="14" t="str">
        <f>if(TTM!Q91="","",iferror(max(min(TTM!Q91,1),-0.3),""))</f>
        <v/>
      </c>
      <c r="R91" s="14"/>
      <c r="S91" s="14">
        <f>if(TTM!S91="","",iferror(max(min(TTM!S91,1),-0.3),""))</f>
        <v>0.09908583683</v>
      </c>
      <c r="T91" s="14">
        <f>if(TTM!T91="","",iferror(max(min(TTM!T91,1),-0.3),""))</f>
        <v>-0.2667837677</v>
      </c>
      <c r="U91" s="14" t="str">
        <f>if(TTM!U91="","",iferror(max(min(TTM!U91,1),-0.3),""))</f>
        <v/>
      </c>
      <c r="V91" s="14" t="str">
        <f>if(TTM!V91="","",iferror(max(min(TTM!V91,1),-0.3),""))</f>
        <v/>
      </c>
      <c r="W91" s="14" t="str">
        <f>if(TTM!W91="","",iferror(max(min(TTM!W91,1),-0.3),""))</f>
        <v/>
      </c>
      <c r="X91" s="14">
        <f>if(TTM!X91="","",iferror(max(min(TTM!X91,1),-0.3),""))</f>
        <v>0.004081060593</v>
      </c>
      <c r="Y91" s="14">
        <f>if(TTM!Y91="","",iferror(max(min(TTM!Y91,1),-0.3),""))</f>
        <v>0.1679603735</v>
      </c>
      <c r="Z91" s="14">
        <f>if(TTM!Z91="","",iferror(max(min(TTM!Z91,1),-0.3),""))</f>
        <v>0.3633744734</v>
      </c>
      <c r="AA91" s="14">
        <f>if(TTM!AA91="","",iferror(max(min(TTM!AA91,1),-0.3),""))</f>
        <v>0.3651999365</v>
      </c>
      <c r="AB91" s="14">
        <f>if(TTM!AB91="","",iferror(max(min(TTM!AB91,1),-0.3),""))</f>
        <v>-0.05559865923</v>
      </c>
      <c r="AC91" s="14">
        <f>if(TTM!AC91="","",iferror(max(min(TTM!AC91,1),-0.3),""))</f>
        <v>0.641253237</v>
      </c>
      <c r="AD91" s="12"/>
    </row>
    <row r="92">
      <c r="A92" s="15" t="s">
        <v>119</v>
      </c>
      <c r="B92" s="14">
        <f>if(TTM!B92="","",iferror(max(min(TTM!B92,1),-0.3),""))</f>
        <v>0.2749591607</v>
      </c>
      <c r="C92" s="14">
        <f>if(TTM!C92="","",iferror(max(min(TTM!C92,1),-0.3),""))</f>
        <v>0.07429958659</v>
      </c>
      <c r="D92" s="14">
        <f>if(TTM!D92="","",iferror(max(min(TTM!D92,1),-0.3),""))</f>
        <v>0.08576838827</v>
      </c>
      <c r="E92" s="14">
        <f>if(TTM!E92="","",iferror(max(min(TTM!E92,1),-0.3),""))</f>
        <v>0.1321052359</v>
      </c>
      <c r="F92" s="14">
        <f>if(TTM!F92="","",iferror(max(min(TTM!F92,1),-0.3),""))</f>
        <v>0.02261665996</v>
      </c>
      <c r="G92" s="14">
        <f>if(TTM!G92="","",iferror(max(min(TTM!G92,1),-0.3),""))</f>
        <v>-0.1106260528</v>
      </c>
      <c r="H92" s="14">
        <f>if(TTM!H92="","",iferror(max(min(TTM!H92,1),-0.3),""))</f>
        <v>0.04016615321</v>
      </c>
      <c r="I92" s="14">
        <f>if(TTM!I92="","",iferror(max(min(TTM!I92,1),-0.3),""))</f>
        <v>-0.09305771798</v>
      </c>
      <c r="J92" s="14">
        <f>if(TTM!J92="","",iferror(max(min(TTM!J92,1),-0.3),""))</f>
        <v>-0.2014372587</v>
      </c>
      <c r="K92" s="14" t="str">
        <f>if(TTM!K92="","",iferror(max(min(TTM!K92,1),-0.3),""))</f>
        <v/>
      </c>
      <c r="L92" s="14">
        <f>if(TTM!L92="","",iferror(max(min(TTM!L92,1),-0.3),""))</f>
        <v>-0.2393129296</v>
      </c>
      <c r="M92" s="14" t="str">
        <f>if(TTM!M92="","",iferror(max(min(TTM!M92,1),-0.3),""))</f>
        <v/>
      </c>
      <c r="N92" s="14">
        <f>if(TTM!N92="","",iferror(max(min(TTM!N92,1),-0.3),""))</f>
        <v>0.6700145659</v>
      </c>
      <c r="O92" s="14">
        <f>if(TTM!O92="","",iferror(max(min(TTM!O92,1),-0.3),""))</f>
        <v>-0.3</v>
      </c>
      <c r="P92" s="14" t="str">
        <f>if(TTM!P92="","",iferror(max(min(TTM!P92,1),-0.3),""))</f>
        <v/>
      </c>
      <c r="Q92" s="14" t="str">
        <f>if(TTM!Q92="","",iferror(max(min(TTM!Q92,1),-0.3),""))</f>
        <v/>
      </c>
      <c r="R92" s="14"/>
      <c r="S92" s="14">
        <f>if(TTM!S92="","",iferror(max(min(TTM!S92,1),-0.3),""))</f>
        <v>0.1251275231</v>
      </c>
      <c r="T92" s="14">
        <f>if(TTM!T92="","",iferror(max(min(TTM!T92,1),-0.3),""))</f>
        <v>-0.2510830698</v>
      </c>
      <c r="U92" s="14" t="str">
        <f>if(TTM!U92="","",iferror(max(min(TTM!U92,1),-0.3),""))</f>
        <v/>
      </c>
      <c r="V92" s="14" t="str">
        <f>if(TTM!V92="","",iferror(max(min(TTM!V92,1),-0.3),""))</f>
        <v/>
      </c>
      <c r="W92" s="14" t="str">
        <f>if(TTM!W92="","",iferror(max(min(TTM!W92,1),-0.3),""))</f>
        <v/>
      </c>
      <c r="X92" s="14">
        <f>if(TTM!X92="","",iferror(max(min(TTM!X92,1),-0.3),""))</f>
        <v>-0.01510941749</v>
      </c>
      <c r="Y92" s="14">
        <f>if(TTM!Y92="","",iferror(max(min(TTM!Y92,1),-0.3),""))</f>
        <v>0.1889275754</v>
      </c>
      <c r="Z92" s="14">
        <f>if(TTM!Z92="","",iferror(max(min(TTM!Z92,1),-0.3),""))</f>
        <v>0.3953334106</v>
      </c>
      <c r="AA92" s="14">
        <f>if(TTM!AA92="","",iferror(max(min(TTM!AA92,1),-0.3),""))</f>
        <v>0.2951714656</v>
      </c>
      <c r="AB92" s="14">
        <f>if(TTM!AB92="","",iferror(max(min(TTM!AB92,1),-0.3),""))</f>
        <v>-0.07731586214</v>
      </c>
      <c r="AC92" s="14">
        <f>if(TTM!AC92="","",iferror(max(min(TTM!AC92,1),-0.3),""))</f>
        <v>0.5158762095</v>
      </c>
      <c r="AD92" s="12"/>
    </row>
    <row r="93">
      <c r="A93" s="15" t="s">
        <v>120</v>
      </c>
      <c r="B93" s="14">
        <f>if(TTM!B93="","",iferror(max(min(TTM!B93,1),-0.3),""))</f>
        <v>0.3692733857</v>
      </c>
      <c r="C93" s="14">
        <f>if(TTM!C93="","",iferror(max(min(TTM!C93,1),-0.3),""))</f>
        <v>0.06074013169</v>
      </c>
      <c r="D93" s="14">
        <f>if(TTM!D93="","",iferror(max(min(TTM!D93,1),-0.3),""))</f>
        <v>0.0811590675</v>
      </c>
      <c r="E93" s="14">
        <f>if(TTM!E93="","",iferror(max(min(TTM!E93,1),-0.3),""))</f>
        <v>0.114609661</v>
      </c>
      <c r="F93" s="14">
        <f>if(TTM!F93="","",iferror(max(min(TTM!F93,1),-0.3),""))</f>
        <v>-0.004578931451</v>
      </c>
      <c r="G93" s="14">
        <f>if(TTM!G93="","",iferror(max(min(TTM!G93,1),-0.3),""))</f>
        <v>-0.08406614514</v>
      </c>
      <c r="H93" s="14">
        <f>if(TTM!H93="","",iferror(max(min(TTM!H93,1),-0.3),""))</f>
        <v>0.04579828309</v>
      </c>
      <c r="I93" s="14">
        <f>if(TTM!I93="","",iferror(max(min(TTM!I93,1),-0.3),""))</f>
        <v>-0.0514497467</v>
      </c>
      <c r="J93" s="14">
        <f>if(TTM!J93="","",iferror(max(min(TTM!J93,1),-0.3),""))</f>
        <v>-0.08620435583</v>
      </c>
      <c r="K93" s="14" t="str">
        <f>if(TTM!K93="","",iferror(max(min(TTM!K93,1),-0.3),""))</f>
        <v/>
      </c>
      <c r="L93" s="14">
        <f>if(TTM!L93="","",iferror(max(min(TTM!L93,1),-0.3),""))</f>
        <v>-0.3</v>
      </c>
      <c r="M93" s="14" t="str">
        <f>if(TTM!M93="","",iferror(max(min(TTM!M93,1),-0.3),""))</f>
        <v/>
      </c>
      <c r="N93" s="14">
        <f>if(TTM!N93="","",iferror(max(min(TTM!N93,1),-0.3),""))</f>
        <v>0.6710799431</v>
      </c>
      <c r="O93" s="14">
        <f>if(TTM!O93="","",iferror(max(min(TTM!O93,1),-0.3),""))</f>
        <v>-0.3</v>
      </c>
      <c r="P93" s="14" t="str">
        <f>if(TTM!P93="","",iferror(max(min(TTM!P93,1),-0.3),""))</f>
        <v/>
      </c>
      <c r="Q93" s="14" t="str">
        <f>if(TTM!Q93="","",iferror(max(min(TTM!Q93,1),-0.3),""))</f>
        <v/>
      </c>
      <c r="R93" s="14"/>
      <c r="S93" s="14">
        <f>if(TTM!S93="","",iferror(max(min(TTM!S93,1),-0.3),""))</f>
        <v>0.1511692093</v>
      </c>
      <c r="T93" s="14">
        <f>if(TTM!T93="","",iferror(max(min(TTM!T93,1),-0.3),""))</f>
        <v>-0.2353823718</v>
      </c>
      <c r="U93" s="14" t="str">
        <f>if(TTM!U93="","",iferror(max(min(TTM!U93,1),-0.3),""))</f>
        <v/>
      </c>
      <c r="V93" s="14" t="str">
        <f>if(TTM!V93="","",iferror(max(min(TTM!V93,1),-0.3),""))</f>
        <v/>
      </c>
      <c r="W93" s="14" t="str">
        <f>if(TTM!W93="","",iferror(max(min(TTM!W93,1),-0.3),""))</f>
        <v/>
      </c>
      <c r="X93" s="14">
        <f>if(TTM!X93="","",iferror(max(min(TTM!X93,1),-0.3),""))</f>
        <v>-0.09665312892</v>
      </c>
      <c r="Y93" s="14">
        <f>if(TTM!Y93="","",iferror(max(min(TTM!Y93,1),-0.3),""))</f>
        <v>0.2098947772</v>
      </c>
      <c r="Z93" s="14">
        <f>if(TTM!Z93="","",iferror(max(min(TTM!Z93,1),-0.3),""))</f>
        <v>0.4272923478</v>
      </c>
      <c r="AA93" s="14">
        <f>if(TTM!AA93="","",iferror(max(min(TTM!AA93,1),-0.3),""))</f>
        <v>0.2251429946</v>
      </c>
      <c r="AB93" s="14">
        <f>if(TTM!AB93="","",iferror(max(min(TTM!AB93,1),-0.3),""))</f>
        <v>-0.09903306505</v>
      </c>
      <c r="AC93" s="14">
        <f>if(TTM!AC93="","",iferror(max(min(TTM!AC93,1),-0.3),""))</f>
        <v>0.3904991819</v>
      </c>
      <c r="AD93" s="12"/>
    </row>
    <row r="94">
      <c r="A94" s="15" t="s">
        <v>121</v>
      </c>
      <c r="B94" s="14">
        <f>if(TTM!B94="","",iferror(max(min(TTM!B94,1),-0.3),""))</f>
        <v>0.3159966429</v>
      </c>
      <c r="C94" s="14">
        <f>if(TTM!C94="","",iferror(max(min(TTM!C94,1),-0.3),""))</f>
        <v>0.03397609036</v>
      </c>
      <c r="D94" s="14">
        <f>if(TTM!D94="","",iferror(max(min(TTM!D94,1),-0.3),""))</f>
        <v>0.07365239571</v>
      </c>
      <c r="E94" s="14">
        <f>if(TTM!E94="","",iferror(max(min(TTM!E94,1),-0.3),""))</f>
        <v>0.09616323589</v>
      </c>
      <c r="F94" s="14">
        <f>if(TTM!F94="","",iferror(max(min(TTM!F94,1),-0.3),""))</f>
        <v>-0.03199731331</v>
      </c>
      <c r="G94" s="14">
        <f>if(TTM!G94="","",iferror(max(min(TTM!G94,1),-0.3),""))</f>
        <v>-0.08063920366</v>
      </c>
      <c r="H94" s="14">
        <f>if(TTM!H94="","",iferror(max(min(TTM!H94,1),-0.3),""))</f>
        <v>0.08439458179</v>
      </c>
      <c r="I94" s="14">
        <f>if(TTM!I94="","",iferror(max(min(TTM!I94,1),-0.3),""))</f>
        <v>-0.006807053231</v>
      </c>
      <c r="J94" s="14">
        <f>if(TTM!J94="","",iferror(max(min(TTM!J94,1),-0.3),""))</f>
        <v>0.02709365365</v>
      </c>
      <c r="K94" s="14" t="str">
        <f>if(TTM!K94="","",iferror(max(min(TTM!K94,1),-0.3),""))</f>
        <v/>
      </c>
      <c r="L94" s="14">
        <f>if(TTM!L94="","",iferror(max(min(TTM!L94,1),-0.3),""))</f>
        <v>-0.3</v>
      </c>
      <c r="M94" s="14" t="str">
        <f>if(TTM!M94="","",iferror(max(min(TTM!M94,1),-0.3),""))</f>
        <v/>
      </c>
      <c r="N94" s="14">
        <f>if(TTM!N94="","",iferror(max(min(TTM!N94,1),-0.3),""))</f>
        <v>0.5414441398</v>
      </c>
      <c r="O94" s="14">
        <f>if(TTM!O94="","",iferror(max(min(TTM!O94,1),-0.3),""))</f>
        <v>-0.1580983998</v>
      </c>
      <c r="P94" s="14" t="str">
        <f>if(TTM!P94="","",iferror(max(min(TTM!P94,1),-0.3),""))</f>
        <v/>
      </c>
      <c r="Q94" s="14" t="str">
        <f>if(TTM!Q94="","",iferror(max(min(TTM!Q94,1),-0.3),""))</f>
        <v/>
      </c>
      <c r="R94" s="14"/>
      <c r="S94" s="14">
        <f>if(TTM!S94="","",iferror(max(min(TTM!S94,1),-0.3),""))</f>
        <v>0.1772108956</v>
      </c>
      <c r="T94" s="14">
        <f>if(TTM!T94="","",iferror(max(min(TTM!T94,1),-0.3),""))</f>
        <v>-0.2196816738</v>
      </c>
      <c r="U94" s="14" t="str">
        <f>if(TTM!U94="","",iferror(max(min(TTM!U94,1),-0.3),""))</f>
        <v/>
      </c>
      <c r="V94" s="14" t="str">
        <f>if(TTM!V94="","",iferror(max(min(TTM!V94,1),-0.3),""))</f>
        <v/>
      </c>
      <c r="W94" s="14" t="str">
        <f>if(TTM!W94="","",iferror(max(min(TTM!W94,1),-0.3),""))</f>
        <v/>
      </c>
      <c r="X94" s="14">
        <f>if(TTM!X94="","",iferror(max(min(TTM!X94,1),-0.3),""))</f>
        <v>-0.1781968404</v>
      </c>
      <c r="Y94" s="14">
        <f>if(TTM!Y94="","",iferror(max(min(TTM!Y94,1),-0.3),""))</f>
        <v>0.2308619791</v>
      </c>
      <c r="Z94" s="14">
        <f>if(TTM!Z94="","",iferror(max(min(TTM!Z94,1),-0.3),""))</f>
        <v>0.459251285</v>
      </c>
      <c r="AA94" s="14">
        <f>if(TTM!AA94="","",iferror(max(min(TTM!AA94,1),-0.3),""))</f>
        <v>0.1551145236</v>
      </c>
      <c r="AB94" s="14">
        <f>if(TTM!AB94="","",iferror(max(min(TTM!AB94,1),-0.3),""))</f>
        <v>-0.120750268</v>
      </c>
      <c r="AC94" s="14">
        <f>if(TTM!AC94="","",iferror(max(min(TTM!AC94,1),-0.3),""))</f>
        <v>0.2651221544</v>
      </c>
      <c r="AD94" s="12"/>
    </row>
    <row r="95">
      <c r="A95" s="15" t="s">
        <v>122</v>
      </c>
      <c r="B95" s="14">
        <f>if(TTM!B95="","",iferror(max(min(TTM!B95,1),-0.3),""))</f>
        <v>0.3371018348</v>
      </c>
      <c r="C95" s="14">
        <f>if(TTM!C95="","",iferror(max(min(TTM!C95,1),-0.3),""))</f>
        <v>-0.006616042445</v>
      </c>
      <c r="D95" s="14">
        <f>if(TTM!D95="","",iferror(max(min(TTM!D95,1),-0.3),""))</f>
        <v>0.02525575099</v>
      </c>
      <c r="E95" s="14">
        <f>if(TTM!E95="","",iferror(max(min(TTM!E95,1),-0.3),""))</f>
        <v>-0.04872723924</v>
      </c>
      <c r="F95" s="14">
        <f>if(TTM!F95="","",iferror(max(min(TTM!F95,1),-0.3),""))</f>
        <v>-0.09583413646</v>
      </c>
      <c r="G95" s="14">
        <f>if(TTM!G95="","",iferror(max(min(TTM!G95,1),-0.3),""))</f>
        <v>-0.1147980833</v>
      </c>
      <c r="H95" s="14">
        <f>if(TTM!H95="","",iferror(max(min(TTM!H95,1),-0.3),""))</f>
        <v>0.005473310607</v>
      </c>
      <c r="I95" s="14">
        <f>if(TTM!I95="","",iferror(max(min(TTM!I95,1),-0.3),""))</f>
        <v>-0.08780324504</v>
      </c>
      <c r="J95" s="14">
        <f>if(TTM!J95="","",iferror(max(min(TTM!J95,1),-0.3),""))</f>
        <v>0.05502189068</v>
      </c>
      <c r="K95" s="14" t="str">
        <f>if(TTM!K95="","",iferror(max(min(TTM!K95,1),-0.3),""))</f>
        <v/>
      </c>
      <c r="L95" s="14">
        <f>if(TTM!L95="","",iferror(max(min(TTM!L95,1),-0.3),""))</f>
        <v>-0.3</v>
      </c>
      <c r="M95" s="14">
        <f>if(TTM!M95="","",iferror(max(min(TTM!M95,1),-0.3),""))</f>
        <v>0.9832214765</v>
      </c>
      <c r="N95" s="14">
        <f>if(TTM!N95="","",iferror(max(min(TTM!N95,1),-0.3),""))</f>
        <v>0.3827912518</v>
      </c>
      <c r="O95" s="14">
        <f>if(TTM!O95="","",iferror(max(min(TTM!O95,1),-0.3),""))</f>
        <v>-0.2052095679</v>
      </c>
      <c r="P95" s="14" t="str">
        <f>if(TTM!P95="","",iferror(max(min(TTM!P95,1),-0.3),""))</f>
        <v/>
      </c>
      <c r="Q95" s="14" t="str">
        <f>if(TTM!Q95="","",iferror(max(min(TTM!Q95,1),-0.3),""))</f>
        <v/>
      </c>
      <c r="R95" s="14"/>
      <c r="S95" s="14">
        <f>if(TTM!S95="","",iferror(max(min(TTM!S95,1),-0.3),""))</f>
        <v>-0.03489293819</v>
      </c>
      <c r="T95" s="14">
        <f>if(TTM!T95="","",iferror(max(min(TTM!T95,1),-0.3),""))</f>
        <v>-0.2039809759</v>
      </c>
      <c r="U95" s="14">
        <f>if(TTM!U95="","",iferror(max(min(TTM!U95,1),-0.3),""))</f>
        <v>-0.3</v>
      </c>
      <c r="V95" s="14" t="str">
        <f>if(TTM!V95="","",iferror(max(min(TTM!V95,1),-0.3),""))</f>
        <v/>
      </c>
      <c r="W95" s="14" t="str">
        <f>if(TTM!W95="","",iferror(max(min(TTM!W95,1),-0.3),""))</f>
        <v/>
      </c>
      <c r="X95" s="14">
        <f>if(TTM!X95="","",iferror(max(min(TTM!X95,1),-0.3),""))</f>
        <v>-0.2597405518</v>
      </c>
      <c r="Y95" s="14">
        <f>if(TTM!Y95="","",iferror(max(min(TTM!Y95,1),-0.3),""))</f>
        <v>0.007433492004</v>
      </c>
      <c r="Z95" s="14">
        <f>if(TTM!Z95="","",iferror(max(min(TTM!Z95,1),-0.3),""))</f>
        <v>0.1954442616</v>
      </c>
      <c r="AA95" s="14">
        <f>if(TTM!AA95="","",iferror(max(min(TTM!AA95,1),-0.3),""))</f>
        <v>-0.03745391757</v>
      </c>
      <c r="AB95" s="14">
        <f>if(TTM!AB95="","",iferror(max(min(TTM!AB95,1),-0.3),""))</f>
        <v>-0.2513618818</v>
      </c>
      <c r="AC95" s="14">
        <f>if(TTM!AC95="","",iferror(max(min(TTM!AC95,1),-0.3),""))</f>
        <v>0.1060612864</v>
      </c>
      <c r="AD95" s="12"/>
    </row>
    <row r="96">
      <c r="A96" s="15" t="s">
        <v>123</v>
      </c>
      <c r="B96" s="14">
        <f>if(TTM!B96="","",iferror(max(min(TTM!B96,1),-0.3),""))</f>
        <v>0.073620158</v>
      </c>
      <c r="C96" s="14">
        <f>if(TTM!C96="","",iferror(max(min(TTM!C96,1),-0.3),""))</f>
        <v>-0.237822988</v>
      </c>
      <c r="D96" s="14">
        <f>if(TTM!D96="","",iferror(max(min(TTM!D96,1),-0.3),""))</f>
        <v>-0.2035642716</v>
      </c>
      <c r="E96" s="14">
        <f>if(TTM!E96="","",iferror(max(min(TTM!E96,1),-0.3),""))</f>
        <v>-0.2451765715</v>
      </c>
      <c r="F96" s="14">
        <f>if(TTM!F96="","",iferror(max(min(TTM!F96,1),-0.3),""))</f>
        <v>-0.3</v>
      </c>
      <c r="G96" s="14">
        <f>if(TTM!G96="","",iferror(max(min(TTM!G96,1),-0.3),""))</f>
        <v>-0.3</v>
      </c>
      <c r="H96" s="14">
        <f>if(TTM!H96="","",iferror(max(min(TTM!H96,1),-0.3),""))</f>
        <v>-0.2280138179</v>
      </c>
      <c r="I96" s="14">
        <f>if(TTM!I96="","",iferror(max(min(TTM!I96,1),-0.3),""))</f>
        <v>-0.3</v>
      </c>
      <c r="J96" s="14">
        <f>if(TTM!J96="","",iferror(max(min(TTM!J96,1),-0.3),""))</f>
        <v>-0.1916308111</v>
      </c>
      <c r="K96" s="14" t="str">
        <f>if(TTM!K96="","",iferror(max(min(TTM!K96,1),-0.3),""))</f>
        <v/>
      </c>
      <c r="L96" s="14">
        <f>if(TTM!L96="","",iferror(max(min(TTM!L96,1),-0.3),""))</f>
        <v>-0.3</v>
      </c>
      <c r="M96" s="14">
        <f>if(TTM!M96="","",iferror(max(min(TTM!M96,1),-0.3),""))</f>
        <v>0.0408437912</v>
      </c>
      <c r="N96" s="14">
        <f>if(TTM!N96="","",iferror(max(min(TTM!N96,1),-0.3),""))</f>
        <v>-0.03521550483</v>
      </c>
      <c r="O96" s="14">
        <f>if(TTM!O96="","",iferror(max(min(TTM!O96,1),-0.3),""))</f>
        <v>-0.252320736</v>
      </c>
      <c r="P96" s="14" t="str">
        <f>if(TTM!P96="","",iferror(max(min(TTM!P96,1),-0.3),""))</f>
        <v/>
      </c>
      <c r="Q96" s="14" t="str">
        <f>if(TTM!Q96="","",iferror(max(min(TTM!Q96,1),-0.3),""))</f>
        <v/>
      </c>
      <c r="R96" s="14"/>
      <c r="S96" s="14">
        <f>if(TTM!S96="","",iferror(max(min(TTM!S96,1),-0.3),""))</f>
        <v>-0.246996772</v>
      </c>
      <c r="T96" s="14">
        <f>if(TTM!T96="","",iferror(max(min(TTM!T96,1),-0.3),""))</f>
        <v>-0.1925298788</v>
      </c>
      <c r="U96" s="14">
        <f>if(TTM!U96="","",iferror(max(min(TTM!U96,1),-0.3),""))</f>
        <v>-0.3</v>
      </c>
      <c r="V96" s="14" t="str">
        <f>if(TTM!V96="","",iferror(max(min(TTM!V96,1),-0.3),""))</f>
        <v/>
      </c>
      <c r="W96" s="14" t="str">
        <f>if(TTM!W96="","",iferror(max(min(TTM!W96,1),-0.3),""))</f>
        <v/>
      </c>
      <c r="X96" s="14">
        <f>if(TTM!X96="","",iferror(max(min(TTM!X96,1),-0.3),""))</f>
        <v>-0.3</v>
      </c>
      <c r="Y96" s="14">
        <f>if(TTM!Y96="","",iferror(max(min(TTM!Y96,1),-0.3),""))</f>
        <v>-0.2159949951</v>
      </c>
      <c r="Z96" s="14">
        <f>if(TTM!Z96="","",iferror(max(min(TTM!Z96,1),-0.3),""))</f>
        <v>-0.06836276173</v>
      </c>
      <c r="AA96" s="14">
        <f>if(TTM!AA96="","",iferror(max(min(TTM!AA96,1),-0.3),""))</f>
        <v>-0.2300223587</v>
      </c>
      <c r="AB96" s="14">
        <f>if(TTM!AB96="","",iferror(max(min(TTM!AB96,1),-0.3),""))</f>
        <v>-0.3</v>
      </c>
      <c r="AC96" s="14">
        <f>if(TTM!AC96="","",iferror(max(min(TTM!AC96,1),-0.3),""))</f>
        <v>-0.0529995817</v>
      </c>
      <c r="AD96" s="12"/>
    </row>
    <row r="97">
      <c r="A97" s="15" t="s">
        <v>124</v>
      </c>
      <c r="B97" s="14">
        <f>if(TTM!B97="","",iferror(max(min(TTM!B97,1),-0.3),""))</f>
        <v>-0.1732661714</v>
      </c>
      <c r="C97" s="14">
        <f>if(TTM!C97="","",iferror(max(min(TTM!C97,1),-0.3),""))</f>
        <v>-0.3</v>
      </c>
      <c r="D97" s="14">
        <f>if(TTM!D97="","",iferror(max(min(TTM!D97,1),-0.3),""))</f>
        <v>-0.3</v>
      </c>
      <c r="E97" s="14">
        <f>if(TTM!E97="","",iferror(max(min(TTM!E97,1),-0.3),""))</f>
        <v>-0.3</v>
      </c>
      <c r="F97" s="14">
        <f>if(TTM!F97="","",iferror(max(min(TTM!F97,1),-0.3),""))</f>
        <v>-0.3</v>
      </c>
      <c r="G97" s="14">
        <f>if(TTM!G97="","",iferror(max(min(TTM!G97,1),-0.3),""))</f>
        <v>-0.3</v>
      </c>
      <c r="H97" s="14">
        <f>if(TTM!H97="","",iferror(max(min(TTM!H97,1),-0.3),""))</f>
        <v>-0.3</v>
      </c>
      <c r="I97" s="14">
        <f>if(TTM!I97="","",iferror(max(min(TTM!I97,1),-0.3),""))</f>
        <v>-0.3</v>
      </c>
      <c r="J97" s="14">
        <f>if(TTM!J97="","",iferror(max(min(TTM!J97,1),-0.3),""))</f>
        <v>-0.3</v>
      </c>
      <c r="K97" s="14" t="str">
        <f>if(TTM!K97="","",iferror(max(min(TTM!K97,1),-0.3),""))</f>
        <v/>
      </c>
      <c r="L97" s="14">
        <f>if(TTM!L97="","",iferror(max(min(TTM!L97,1),-0.3),""))</f>
        <v>-0.3</v>
      </c>
      <c r="M97" s="14">
        <f>if(TTM!M97="","",iferror(max(min(TTM!M97,1),-0.3),""))</f>
        <v>-0.2435209168</v>
      </c>
      <c r="N97" s="14">
        <f>if(TTM!N97="","",iferror(max(min(TTM!N97,1),-0.3),""))</f>
        <v>-0.3</v>
      </c>
      <c r="O97" s="14">
        <f>if(TTM!O97="","",iferror(max(min(TTM!O97,1),-0.3),""))</f>
        <v>-0.3</v>
      </c>
      <c r="P97" s="14" t="str">
        <f>if(TTM!P97="","",iferror(max(min(TTM!P97,1),-0.3),""))</f>
        <v/>
      </c>
      <c r="Q97" s="14" t="str">
        <f>if(TTM!Q97="","",iferror(max(min(TTM!Q97,1),-0.3),""))</f>
        <v/>
      </c>
      <c r="R97" s="14"/>
      <c r="S97" s="14">
        <f>if(TTM!S97="","",iferror(max(min(TTM!S97,1),-0.3),""))</f>
        <v>-0.3</v>
      </c>
      <c r="T97" s="14">
        <f>if(TTM!T97="","",iferror(max(min(TTM!T97,1),-0.3),""))</f>
        <v>-0.1810787818</v>
      </c>
      <c r="U97" s="14">
        <f>if(TTM!U97="","",iferror(max(min(TTM!U97,1),-0.3),""))</f>
        <v>-0.3</v>
      </c>
      <c r="V97" s="14" t="str">
        <f>if(TTM!V97="","",iferror(max(min(TTM!V97,1),-0.3),""))</f>
        <v/>
      </c>
      <c r="W97" s="14" t="str">
        <f>if(TTM!W97="","",iferror(max(min(TTM!W97,1),-0.3),""))</f>
        <v/>
      </c>
      <c r="X97" s="14">
        <f>if(TTM!X97="","",iferror(max(min(TTM!X97,1),-0.3),""))</f>
        <v>-0.3</v>
      </c>
      <c r="Y97" s="14">
        <f>if(TTM!Y97="","",iferror(max(min(TTM!Y97,1),-0.3),""))</f>
        <v>-0.3</v>
      </c>
      <c r="Z97" s="14">
        <f>if(TTM!Z97="","",iferror(max(min(TTM!Z97,1),-0.3),""))</f>
        <v>-0.3</v>
      </c>
      <c r="AA97" s="14">
        <f>if(TTM!AA97="","",iferror(max(min(TTM!AA97,1),-0.3),""))</f>
        <v>-0.3</v>
      </c>
      <c r="AB97" s="14">
        <f>if(TTM!AB97="","",iferror(max(min(TTM!AB97,1),-0.3),""))</f>
        <v>-0.3</v>
      </c>
      <c r="AC97" s="14">
        <f>if(TTM!AC97="","",iferror(max(min(TTM!AC97,1),-0.3),""))</f>
        <v>-0.2120604498</v>
      </c>
      <c r="AD97" s="12"/>
    </row>
    <row r="98">
      <c r="A98" s="15" t="s">
        <v>125</v>
      </c>
      <c r="B98" s="14">
        <f>if(TTM!B98="","",iferror(max(min(TTM!B98,1),-0.3),""))</f>
        <v>-0.2823962204</v>
      </c>
      <c r="C98" s="14">
        <f>if(TTM!C98="","",iferror(max(min(TTM!C98,1),-0.3),""))</f>
        <v>-0.3</v>
      </c>
      <c r="D98" s="14">
        <f>if(TTM!D98="","",iferror(max(min(TTM!D98,1),-0.3),""))</f>
        <v>-0.3</v>
      </c>
      <c r="E98" s="14">
        <f>if(TTM!E98="","",iferror(max(min(TTM!E98,1),-0.3),""))</f>
        <v>-0.3</v>
      </c>
      <c r="F98" s="14">
        <f>if(TTM!F98="","",iferror(max(min(TTM!F98,1),-0.3),""))</f>
        <v>-0.3</v>
      </c>
      <c r="G98" s="14">
        <f>if(TTM!G98="","",iferror(max(min(TTM!G98,1),-0.3),""))</f>
        <v>-0.3</v>
      </c>
      <c r="H98" s="14">
        <f>if(TTM!H98="","",iferror(max(min(TTM!H98,1),-0.3),""))</f>
        <v>-0.3</v>
      </c>
      <c r="I98" s="14">
        <f>if(TTM!I98="","",iferror(max(min(TTM!I98,1),-0.3),""))</f>
        <v>-0.3</v>
      </c>
      <c r="J98" s="14">
        <f>if(TTM!J98="","",iferror(max(min(TTM!J98,1),-0.3),""))</f>
        <v>-0.3</v>
      </c>
      <c r="K98" s="14" t="str">
        <f>if(TTM!K98="","",iferror(max(min(TTM!K98,1),-0.3),""))</f>
        <v/>
      </c>
      <c r="L98" s="14">
        <f>if(TTM!L98="","",iferror(max(min(TTM!L98,1),-0.3),""))</f>
        <v>-0.3</v>
      </c>
      <c r="M98" s="14">
        <f>if(TTM!M98="","",iferror(max(min(TTM!M98,1),-0.3),""))</f>
        <v>-0.3</v>
      </c>
      <c r="N98" s="14">
        <f>if(TTM!N98="","",iferror(max(min(TTM!N98,1),-0.3),""))</f>
        <v>-0.3</v>
      </c>
      <c r="O98" s="14">
        <f>if(TTM!O98="","",iferror(max(min(TTM!O98,1),-0.3),""))</f>
        <v>-0.3</v>
      </c>
      <c r="P98" s="14" t="str">
        <f>if(TTM!P98="","",iferror(max(min(TTM!P98,1),-0.3),""))</f>
        <v/>
      </c>
      <c r="Q98" s="14" t="str">
        <f>if(TTM!Q98="","",iferror(max(min(TTM!Q98,1),-0.3),""))</f>
        <v/>
      </c>
      <c r="R98" s="14"/>
      <c r="S98" s="14">
        <f>if(TTM!S98="","",iferror(max(min(TTM!S98,1),-0.3),""))</f>
        <v>-0.3</v>
      </c>
      <c r="T98" s="14">
        <f>if(TTM!T98="","",iferror(max(min(TTM!T98,1),-0.3),""))</f>
        <v>-0.1696276848</v>
      </c>
      <c r="U98" s="14">
        <f>if(TTM!U98="","",iferror(max(min(TTM!U98,1),-0.3),""))</f>
        <v>-0.3</v>
      </c>
      <c r="V98" s="14" t="str">
        <f>if(TTM!V98="","",iferror(max(min(TTM!V98,1),-0.3),""))</f>
        <v/>
      </c>
      <c r="W98" s="14" t="str">
        <f>if(TTM!W98="","",iferror(max(min(TTM!W98,1),-0.3),""))</f>
        <v/>
      </c>
      <c r="X98" s="14">
        <f>if(TTM!X98="","",iferror(max(min(TTM!X98,1),-0.3),""))</f>
        <v>-0.3</v>
      </c>
      <c r="Y98" s="14">
        <f>if(TTM!Y98="","",iferror(max(min(TTM!Y98,1),-0.3),""))</f>
        <v>-0.3</v>
      </c>
      <c r="Z98" s="14">
        <f>if(TTM!Z98="","",iferror(max(min(TTM!Z98,1),-0.3),""))</f>
        <v>-0.3</v>
      </c>
      <c r="AA98" s="14">
        <f>if(TTM!AA98="","",iferror(max(min(TTM!AA98,1),-0.3),""))</f>
        <v>-0.3</v>
      </c>
      <c r="AB98" s="14">
        <f>if(TTM!AB98="","",iferror(max(min(TTM!AB98,1),-0.3),""))</f>
        <v>-0.3</v>
      </c>
      <c r="AC98" s="14">
        <f>if(TTM!AC98="","",iferror(max(min(TTM!AC98,1),-0.3),""))</f>
        <v>-0.3</v>
      </c>
      <c r="AD98" s="12"/>
    </row>
    <row r="99">
      <c r="A99" s="15" t="s">
        <v>126</v>
      </c>
      <c r="B99" s="14">
        <f>if(TTM!B99="","",iferror(max(min(TTM!B99,1),-0.3),""))</f>
        <v>-0.2698442638</v>
      </c>
      <c r="C99" s="14">
        <f>if(TTM!C99="","",iferror(max(min(TTM!C99,1),-0.3),""))</f>
        <v>-0.3</v>
      </c>
      <c r="D99" s="14">
        <f>if(TTM!D99="","",iferror(max(min(TTM!D99,1),-0.3),""))</f>
        <v>-0.3</v>
      </c>
      <c r="E99" s="14">
        <f>if(TTM!E99="","",iferror(max(min(TTM!E99,1),-0.3),""))</f>
        <v>-0.3</v>
      </c>
      <c r="F99" s="14">
        <f>if(TTM!F99="","",iferror(max(min(TTM!F99,1),-0.3),""))</f>
        <v>-0.3</v>
      </c>
      <c r="G99" s="14">
        <f>if(TTM!G99="","",iferror(max(min(TTM!G99,1),-0.3),""))</f>
        <v>-0.3</v>
      </c>
      <c r="H99" s="14">
        <f>if(TTM!H99="","",iferror(max(min(TTM!H99,1),-0.3),""))</f>
        <v>-0.3</v>
      </c>
      <c r="I99" s="14">
        <f>if(TTM!I99="","",iferror(max(min(TTM!I99,1),-0.3),""))</f>
        <v>-0.3</v>
      </c>
      <c r="J99" s="14">
        <f>if(TTM!J99="","",iferror(max(min(TTM!J99,1),-0.3),""))</f>
        <v>-0.3</v>
      </c>
      <c r="K99" s="14" t="str">
        <f>if(TTM!K99="","",iferror(max(min(TTM!K99,1),-0.3),""))</f>
        <v/>
      </c>
      <c r="L99" s="14">
        <f>if(TTM!L99="","",iferror(max(min(TTM!L99,1),-0.3),""))</f>
        <v>-0.3</v>
      </c>
      <c r="M99" s="14">
        <f>if(TTM!M99="","",iferror(max(min(TTM!M99,1),-0.3),""))</f>
        <v>-0.3</v>
      </c>
      <c r="N99" s="14">
        <f>if(TTM!N99="","",iferror(max(min(TTM!N99,1),-0.3),""))</f>
        <v>-0.3</v>
      </c>
      <c r="O99" s="14">
        <f>if(TTM!O99="","",iferror(max(min(TTM!O99,1),-0.3),""))</f>
        <v>-0.3</v>
      </c>
      <c r="P99" s="14" t="str">
        <f>if(TTM!P99="","",iferror(max(min(TTM!P99,1),-0.3),""))</f>
        <v/>
      </c>
      <c r="Q99" s="14" t="str">
        <f>if(TTM!Q99="","",iferror(max(min(TTM!Q99,1),-0.3),""))</f>
        <v/>
      </c>
      <c r="R99" s="14"/>
      <c r="S99" s="14">
        <f>if(TTM!S99="","",iferror(max(min(TTM!S99,1),-0.3),""))</f>
        <v>-0.3</v>
      </c>
      <c r="T99" s="14">
        <f>if(TTM!T99="","",iferror(max(min(TTM!T99,1),-0.3),""))</f>
        <v>-0.1581765877</v>
      </c>
      <c r="U99" s="14">
        <f>if(TTM!U99="","",iferror(max(min(TTM!U99,1),-0.3),""))</f>
        <v>-0.3</v>
      </c>
      <c r="V99" s="14" t="str">
        <f>if(TTM!V99="","",iferror(max(min(TTM!V99,1),-0.3),""))</f>
        <v/>
      </c>
      <c r="W99" s="14" t="str">
        <f>if(TTM!W99="","",iferror(max(min(TTM!W99,1),-0.3),""))</f>
        <v/>
      </c>
      <c r="X99" s="14">
        <f>if(TTM!X99="","",iferror(max(min(TTM!X99,1),-0.3),""))</f>
        <v>-0.3</v>
      </c>
      <c r="Y99" s="14">
        <f>if(TTM!Y99="","",iferror(max(min(TTM!Y99,1),-0.3),""))</f>
        <v>-0.3</v>
      </c>
      <c r="Z99" s="14">
        <f>if(TTM!Z99="","",iferror(max(min(TTM!Z99,1),-0.3),""))</f>
        <v>-0.3</v>
      </c>
      <c r="AA99" s="14">
        <f>if(TTM!AA99="","",iferror(max(min(TTM!AA99,1),-0.3),""))</f>
        <v>-0.3</v>
      </c>
      <c r="AB99" s="14">
        <f>if(TTM!AB99="","",iferror(max(min(TTM!AB99,1),-0.3),""))</f>
        <v>-0.3</v>
      </c>
      <c r="AC99" s="14">
        <f>if(TTM!AC99="","",iferror(max(min(TTM!AC99,1),-0.3),""))</f>
        <v>-0.3</v>
      </c>
      <c r="AD99" s="12"/>
    </row>
    <row r="100">
      <c r="A100" s="15" t="s">
        <v>127</v>
      </c>
      <c r="B100" s="14">
        <f>if(TTM!B100="","",iferror(max(min(TTM!B100,1),-0.3),""))</f>
        <v>0.6583030435</v>
      </c>
      <c r="C100" s="14">
        <f>if(TTM!C100="","",iferror(max(min(TTM!C100,1),-0.3),""))</f>
        <v>0.2054598638</v>
      </c>
      <c r="D100" s="14">
        <f>if(TTM!D100="","",iferror(max(min(TTM!D100,1),-0.3),""))</f>
        <v>0.262839578</v>
      </c>
      <c r="E100" s="14">
        <f>if(TTM!E100="","",iferror(max(min(TTM!E100,1),-0.3),""))</f>
        <v>0.04603993664</v>
      </c>
      <c r="F100" s="14">
        <f>if(TTM!F100="","",iferror(max(min(TTM!F100,1),-0.3),""))</f>
        <v>0.2811423214</v>
      </c>
      <c r="G100" s="14">
        <f>if(TTM!G100="","",iferror(max(min(TTM!G100,1),-0.3),""))</f>
        <v>0.6632357044</v>
      </c>
      <c r="H100" s="14">
        <f>if(TTM!H100="","",iferror(max(min(TTM!H100,1),-0.3),""))</f>
        <v>0.2136674706</v>
      </c>
      <c r="I100" s="14">
        <f>if(TTM!I100="","",iferror(max(min(TTM!I100,1),-0.3),""))</f>
        <v>-0.3</v>
      </c>
      <c r="J100" s="14">
        <f>if(TTM!J100="","",iferror(max(min(TTM!J100,1),-0.3),""))</f>
        <v>0.6246320188</v>
      </c>
      <c r="K100" s="14" t="str">
        <f>if(TTM!K100="","",iferror(max(min(TTM!K100,1),-0.3),""))</f>
        <v/>
      </c>
      <c r="L100" s="14">
        <f>if(TTM!L100="","",iferror(max(min(TTM!L100,1),-0.3),""))</f>
        <v>0.8149928294</v>
      </c>
      <c r="M100" s="14">
        <f>if(TTM!M100="","",iferror(max(min(TTM!M100,1),-0.3),""))</f>
        <v>0.3044924356</v>
      </c>
      <c r="N100" s="14">
        <f>if(TTM!N100="","",iferror(max(min(TTM!N100,1),-0.3),""))</f>
        <v>1</v>
      </c>
      <c r="O100" s="14">
        <f>if(TTM!O100="","",iferror(max(min(TTM!O100,1),-0.3),""))</f>
        <v>-0.3</v>
      </c>
      <c r="P100" s="14" t="str">
        <f>if(TTM!P100="","",iferror(max(min(TTM!P100,1),-0.3),""))</f>
        <v/>
      </c>
      <c r="Q100" s="14" t="str">
        <f>if(TTM!Q100="","",iferror(max(min(TTM!Q100,1),-0.3),""))</f>
        <v/>
      </c>
      <c r="R100" s="14"/>
      <c r="S100" s="14">
        <f>if(TTM!S100="","",iferror(max(min(TTM!S100,1),-0.3),""))</f>
        <v>-0.1126138388</v>
      </c>
      <c r="T100" s="14">
        <f>if(TTM!T100="","",iferror(max(min(TTM!T100,1),-0.3),""))</f>
        <v>0.04391158948</v>
      </c>
      <c r="U100" s="14">
        <f>if(TTM!U100="","",iferror(max(min(TTM!U100,1),-0.3),""))</f>
        <v>-0.3</v>
      </c>
      <c r="V100" s="14" t="str">
        <f>if(TTM!V100="","",iferror(max(min(TTM!V100,1),-0.3),""))</f>
        <v/>
      </c>
      <c r="W100" s="14" t="str">
        <f>if(TTM!W100="","",iferror(max(min(TTM!W100,1),-0.3),""))</f>
        <v/>
      </c>
      <c r="X100" s="14">
        <f>if(TTM!X100="","",iferror(max(min(TTM!X100,1),-0.3),""))</f>
        <v>-0.3</v>
      </c>
      <c r="Y100" s="14">
        <f>if(TTM!Y100="","",iferror(max(min(TTM!Y100,1),-0.3),""))</f>
        <v>-0.275465312</v>
      </c>
      <c r="Z100" s="14">
        <f>if(TTM!Z100="","",iferror(max(min(TTM!Z100,1),-0.3),""))</f>
        <v>-0.1330105213</v>
      </c>
      <c r="AA100" s="14">
        <f>if(TTM!AA100="","",iferror(max(min(TTM!AA100,1),-0.3),""))</f>
        <v>-0.1010779215</v>
      </c>
      <c r="AB100" s="14">
        <f>if(TTM!AB100="","",iferror(max(min(TTM!AB100,1),-0.3),""))</f>
        <v>-0.2987763596</v>
      </c>
      <c r="AC100" s="14">
        <f>if(TTM!AC100="","",iferror(max(min(TTM!AC100,1),-0.3),""))</f>
        <v>-0.2408369559</v>
      </c>
      <c r="AD100" s="12"/>
    </row>
    <row r="101">
      <c r="A101" s="15" t="s">
        <v>128</v>
      </c>
      <c r="B101" s="14">
        <f>if(TTM!B101="","",iferror(max(min(TTM!B101,1),-0.3),""))</f>
        <v>0.871284823</v>
      </c>
      <c r="C101" s="14">
        <f>if(TTM!C101="","",iferror(max(min(TTM!C101,1),-0.3),""))</f>
        <v>0.5173105131</v>
      </c>
      <c r="D101" s="14">
        <f>if(TTM!D101="","",iferror(max(min(TTM!D101,1),-0.3),""))</f>
        <v>0.6495159546</v>
      </c>
      <c r="E101" s="14">
        <f>if(TTM!E101="","",iferror(max(min(TTM!E101,1),-0.3),""))</f>
        <v>0.167116513</v>
      </c>
      <c r="F101" s="14">
        <f>if(TTM!F101="","",iferror(max(min(TTM!F101,1),-0.3),""))</f>
        <v>0.694597016</v>
      </c>
      <c r="G101" s="14">
        <f>if(TTM!G101="","",iferror(max(min(TTM!G101,1),-0.3),""))</f>
        <v>1</v>
      </c>
      <c r="H101" s="14">
        <f>if(TTM!H101="","",iferror(max(min(TTM!H101,1),-0.3),""))</f>
        <v>0.8781244257</v>
      </c>
      <c r="I101" s="14">
        <f>if(TTM!I101="","",iferror(max(min(TTM!I101,1),-0.3),""))</f>
        <v>-0.3</v>
      </c>
      <c r="J101" s="14">
        <f>if(TTM!J101="","",iferror(max(min(TTM!J101,1),-0.3),""))</f>
        <v>1</v>
      </c>
      <c r="K101" s="14" t="str">
        <f>if(TTM!K101="","",iferror(max(min(TTM!K101,1),-0.3),""))</f>
        <v/>
      </c>
      <c r="L101" s="14">
        <f>if(TTM!L101="","",iferror(max(min(TTM!L101,1),-0.3),""))</f>
        <v>1</v>
      </c>
      <c r="M101" s="14">
        <f>if(TTM!M101="","",iferror(max(min(TTM!M101,1),-0.3),""))</f>
        <v>0.6216212127</v>
      </c>
      <c r="N101" s="14">
        <f>if(TTM!N101="","",iferror(max(min(TTM!N101,1),-0.3),""))</f>
        <v>1</v>
      </c>
      <c r="O101" s="14">
        <f>if(TTM!O101="","",iferror(max(min(TTM!O101,1),-0.3),""))</f>
        <v>0.001359120654</v>
      </c>
      <c r="P101" s="14" t="str">
        <f>if(TTM!P101="","",iferror(max(min(TTM!P101,1),-0.3),""))</f>
        <v/>
      </c>
      <c r="Q101" s="14" t="str">
        <f>if(TTM!Q101="","",iferror(max(min(TTM!Q101,1),-0.3),""))</f>
        <v/>
      </c>
      <c r="R101" s="14"/>
      <c r="S101" s="14">
        <f>if(TTM!S101="","",iferror(max(min(TTM!S101,1),-0.3),""))</f>
        <v>0.1666814615</v>
      </c>
      <c r="T101" s="14">
        <f>if(TTM!T101="","",iferror(max(min(TTM!T101,1),-0.3),""))</f>
        <v>0.2459997667</v>
      </c>
      <c r="U101" s="14">
        <f>if(TTM!U101="","",iferror(max(min(TTM!U101,1),-0.3),""))</f>
        <v>-0.1517351235</v>
      </c>
      <c r="V101" s="14" t="str">
        <f>if(TTM!V101="","",iferror(max(min(TTM!V101,1),-0.3),""))</f>
        <v/>
      </c>
      <c r="W101" s="14" t="str">
        <f>if(TTM!W101="","",iferror(max(min(TTM!W101,1),-0.3),""))</f>
        <v/>
      </c>
      <c r="X101" s="14">
        <f>if(TTM!X101="","",iferror(max(min(TTM!X101,1),-0.3),""))</f>
        <v>-0.3</v>
      </c>
      <c r="Y101" s="14">
        <f>if(TTM!Y101="","",iferror(max(min(TTM!Y101,1),-0.3),""))</f>
        <v>-0.08177198341</v>
      </c>
      <c r="Z101" s="14">
        <f>if(TTM!Z101="","",iferror(max(min(TTM!Z101,1),-0.3),""))</f>
        <v>0.09847262229</v>
      </c>
      <c r="AA101" s="14">
        <f>if(TTM!AA101="","",iferror(max(min(TTM!AA101,1),-0.3),""))</f>
        <v>0.1559627382</v>
      </c>
      <c r="AB101" s="14">
        <f>if(TTM!AB101="","",iferror(max(min(TTM!AB101,1),-0.3),""))</f>
        <v>-0.1265661778</v>
      </c>
      <c r="AC101" s="14">
        <f>if(TTM!AC101="","",iferror(max(min(TTM!AC101,1),-0.3),""))</f>
        <v>-0.175694775</v>
      </c>
      <c r="AD101" s="12"/>
    </row>
    <row r="102">
      <c r="A102" s="15" t="s">
        <v>129</v>
      </c>
      <c r="B102" s="14">
        <f>if(TTM!B102="","",iferror(max(min(TTM!B102,1),-0.3),""))</f>
        <v>1</v>
      </c>
      <c r="C102" s="14">
        <f>if(TTM!C102="","",iferror(max(min(TTM!C102,1),-0.3),""))</f>
        <v>1</v>
      </c>
      <c r="D102" s="14">
        <f>if(TTM!D102="","",iferror(max(min(TTM!D102,1),-0.3),""))</f>
        <v>1</v>
      </c>
      <c r="E102" s="14">
        <f>if(TTM!E102="","",iferror(max(min(TTM!E102,1),-0.3),""))</f>
        <v>0.2431403375</v>
      </c>
      <c r="F102" s="14">
        <f>if(TTM!F102="","",iferror(max(min(TTM!F102,1),-0.3),""))</f>
        <v>1</v>
      </c>
      <c r="G102" s="14">
        <f>if(TTM!G102="","",iferror(max(min(TTM!G102,1),-0.3),""))</f>
        <v>1</v>
      </c>
      <c r="H102" s="14">
        <f>if(TTM!H102="","",iferror(max(min(TTM!H102,1),-0.3),""))</f>
        <v>1</v>
      </c>
      <c r="I102" s="14">
        <f>if(TTM!I102="","",iferror(max(min(TTM!I102,1),-0.3),""))</f>
        <v>-0.08897320121</v>
      </c>
      <c r="J102" s="14">
        <f>if(TTM!J102="","",iferror(max(min(TTM!J102,1),-0.3),""))</f>
        <v>1</v>
      </c>
      <c r="K102" s="14" t="str">
        <f>if(TTM!K102="","",iferror(max(min(TTM!K102,1),-0.3),""))</f>
        <v/>
      </c>
      <c r="L102" s="14">
        <f>if(TTM!L102="","",iferror(max(min(TTM!L102,1),-0.3),""))</f>
        <v>1</v>
      </c>
      <c r="M102" s="14">
        <f>if(TTM!M102="","",iferror(max(min(TTM!M102,1),-0.3),""))</f>
        <v>1</v>
      </c>
      <c r="N102" s="14">
        <f>if(TTM!N102="","",iferror(max(min(TTM!N102,1),-0.3),""))</f>
        <v>1</v>
      </c>
      <c r="O102" s="14">
        <f>if(TTM!O102="","",iferror(max(min(TTM!O102,1),-0.3),""))</f>
        <v>0.8812352609</v>
      </c>
      <c r="P102" s="14" t="str">
        <f>if(TTM!P102="","",iferror(max(min(TTM!P102,1),-0.3),""))</f>
        <v/>
      </c>
      <c r="Q102" s="14" t="str">
        <f>if(TTM!Q102="","",iferror(max(min(TTM!Q102,1),-0.3),""))</f>
        <v/>
      </c>
      <c r="R102" s="14"/>
      <c r="S102" s="14">
        <f>if(TTM!S102="","",iferror(max(min(TTM!S102,1),-0.3),""))</f>
        <v>0.4459767619</v>
      </c>
      <c r="T102" s="14">
        <f>if(TTM!T102="","",iferror(max(min(TTM!T102,1),-0.3),""))</f>
        <v>0.4480879439</v>
      </c>
      <c r="U102" s="14">
        <f>if(TTM!U102="","",iferror(max(min(TTM!U102,1),-0.3),""))</f>
        <v>0.3075563713</v>
      </c>
      <c r="V102" s="14" t="str">
        <f>if(TTM!V102="","",iferror(max(min(TTM!V102,1),-0.3),""))</f>
        <v/>
      </c>
      <c r="W102" s="14" t="str">
        <f>if(TTM!W102="","",iferror(max(min(TTM!W102,1),-0.3),""))</f>
        <v/>
      </c>
      <c r="X102" s="14">
        <f>if(TTM!X102="","",iferror(max(min(TTM!X102,1),-0.3),""))</f>
        <v>-0.0722090428</v>
      </c>
      <c r="Y102" s="14">
        <f>if(TTM!Y102="","",iferror(max(min(TTM!Y102,1),-0.3),""))</f>
        <v>0.1119213452</v>
      </c>
      <c r="Z102" s="14">
        <f>if(TTM!Z102="","",iferror(max(min(TTM!Z102,1),-0.3),""))</f>
        <v>0.3299557659</v>
      </c>
      <c r="AA102" s="14">
        <f>if(TTM!AA102="","",iferror(max(min(TTM!AA102,1),-0.3),""))</f>
        <v>0.413003398</v>
      </c>
      <c r="AB102" s="14">
        <f>if(TTM!AB102="","",iferror(max(min(TTM!AB102,1),-0.3),""))</f>
        <v>0.0456440041</v>
      </c>
      <c r="AC102" s="14">
        <f>if(TTM!AC102="","",iferror(max(min(TTM!AC102,1),-0.3),""))</f>
        <v>-0.1105525941</v>
      </c>
      <c r="AD102" s="12"/>
    </row>
    <row r="103">
      <c r="A103" s="15" t="s">
        <v>130</v>
      </c>
      <c r="B103" s="14">
        <f>if(TTM!B103="","",iferror(max(min(TTM!B103,1),-0.3),""))</f>
        <v>1</v>
      </c>
      <c r="C103" s="14">
        <f>if(TTM!C103="","",iferror(max(min(TTM!C103,1),-0.3),""))</f>
        <v>1</v>
      </c>
      <c r="D103" s="14">
        <f>if(TTM!D103="","",iferror(max(min(TTM!D103,1),-0.3),""))</f>
        <v>1</v>
      </c>
      <c r="E103" s="14">
        <f>if(TTM!E103="","",iferror(max(min(TTM!E103,1),-0.3),""))</f>
        <v>0.2668215853</v>
      </c>
      <c r="F103" s="14">
        <f>if(TTM!F103="","",iferror(max(min(TTM!F103,1),-0.3),""))</f>
        <v>1</v>
      </c>
      <c r="G103" s="14">
        <f>if(TTM!G103="","",iferror(max(min(TTM!G103,1),-0.3),""))</f>
        <v>1</v>
      </c>
      <c r="H103" s="14">
        <f>if(TTM!H103="","",iferror(max(min(TTM!H103,1),-0.3),""))</f>
        <v>1</v>
      </c>
      <c r="I103" s="14">
        <f>if(TTM!I103="","",iferror(max(min(TTM!I103,1),-0.3),""))</f>
        <v>0.2827071425</v>
      </c>
      <c r="J103" s="14">
        <f>if(TTM!J103="","",iferror(max(min(TTM!J103,1),-0.3),""))</f>
        <v>1</v>
      </c>
      <c r="K103" s="14">
        <f>if(TTM!K103="","",iferror(max(min(TTM!K103,1),-0.3),""))</f>
        <v>1</v>
      </c>
      <c r="L103" s="14">
        <f>if(TTM!L103="","",iferror(max(min(TTM!L103,1),-0.3),""))</f>
        <v>1</v>
      </c>
      <c r="M103" s="14">
        <f>if(TTM!M103="","",iferror(max(min(TTM!M103,1),-0.3),""))</f>
        <v>1</v>
      </c>
      <c r="N103" s="14">
        <f>if(TTM!N103="","",iferror(max(min(TTM!N103,1),-0.3),""))</f>
        <v>1</v>
      </c>
      <c r="O103" s="14">
        <f>if(TTM!O103="","",iferror(max(min(TTM!O103,1),-0.3),""))</f>
        <v>1</v>
      </c>
      <c r="P103" s="14">
        <f>if(TTM!P103="","",iferror(max(min(TTM!P103,1),-0.3),""))</f>
        <v>-0.1622807018</v>
      </c>
      <c r="Q103" s="14" t="str">
        <f>if(TTM!Q103="","",iferror(max(min(TTM!Q103,1),-0.3),""))</f>
        <v/>
      </c>
      <c r="R103" s="14"/>
      <c r="S103" s="14">
        <f>if(TTM!S103="","",iferror(max(min(TTM!S103,1),-0.3),""))</f>
        <v>0.5244983419</v>
      </c>
      <c r="T103" s="14">
        <f>if(TTM!T103="","",iferror(max(min(TTM!T103,1),-0.3),""))</f>
        <v>0.6501761211</v>
      </c>
      <c r="U103" s="14">
        <f>if(TTM!U103="","",iferror(max(min(TTM!U103,1),-0.3),""))</f>
        <v>0.6155633783</v>
      </c>
      <c r="V103" s="14" t="str">
        <f>if(TTM!V103="","",iferror(max(min(TTM!V103,1),-0.3),""))</f>
        <v/>
      </c>
      <c r="W103" s="14" t="str">
        <f>if(TTM!W103="","",iferror(max(min(TTM!W103,1),-0.3),""))</f>
        <v/>
      </c>
      <c r="X103" s="14">
        <f>if(TTM!X103="","",iferror(max(min(TTM!X103,1),-0.3),""))</f>
        <v>0.22255112</v>
      </c>
      <c r="Y103" s="14">
        <f>if(TTM!Y103="","",iferror(max(min(TTM!Y103,1),-0.3),""))</f>
        <v>0.393104819</v>
      </c>
      <c r="Z103" s="14">
        <f>if(TTM!Z103="","",iferror(max(min(TTM!Z103,1),-0.3),""))</f>
        <v>0.5546031898</v>
      </c>
      <c r="AA103" s="14">
        <f>if(TTM!AA103="","",iferror(max(min(TTM!AA103,1),-0.3),""))</f>
        <v>0.1447905205</v>
      </c>
      <c r="AB103" s="14">
        <f>if(TTM!AB103="","",iferror(max(min(TTM!AB103,1),-0.3),""))</f>
        <v>-0.02560820453</v>
      </c>
      <c r="AC103" s="14">
        <f>if(TTM!AC103="","",iferror(max(min(TTM!AC103,1),-0.3),""))</f>
        <v>0.09825617611</v>
      </c>
      <c r="AD103" s="12"/>
    </row>
    <row r="104">
      <c r="A104" s="15" t="s">
        <v>131</v>
      </c>
      <c r="B104" s="14">
        <f>if(TTM!B104="","",iferror(max(min(TTM!B104,1),-0.3),""))</f>
        <v>0.6820262232</v>
      </c>
      <c r="C104" s="14">
        <f>if(TTM!C104="","",iferror(max(min(TTM!C104,1),-0.3),""))</f>
        <v>1</v>
      </c>
      <c r="D104" s="14">
        <f>if(TTM!D104="","",iferror(max(min(TTM!D104,1),-0.3),""))</f>
        <v>0.939608378</v>
      </c>
      <c r="E104" s="14">
        <f>if(TTM!E104="","",iferror(max(min(TTM!E104,1),-0.3),""))</f>
        <v>-0.07790742473</v>
      </c>
      <c r="F104" s="14">
        <f>if(TTM!F104="","",iferror(max(min(TTM!F104,1),-0.3),""))</f>
        <v>0.9971895273</v>
      </c>
      <c r="G104" s="14">
        <f>if(TTM!G104="","",iferror(max(min(TTM!G104,1),-0.3),""))</f>
        <v>1</v>
      </c>
      <c r="H104" s="14">
        <f>if(TTM!H104="","",iferror(max(min(TTM!H104,1),-0.3),""))</f>
        <v>1</v>
      </c>
      <c r="I104" s="14">
        <f>if(TTM!I104="","",iferror(max(min(TTM!I104,1),-0.3),""))</f>
        <v>1</v>
      </c>
      <c r="J104" s="14">
        <f>if(TTM!J104="","",iferror(max(min(TTM!J104,1),-0.3),""))</f>
        <v>1</v>
      </c>
      <c r="K104" s="14">
        <f>if(TTM!K104="","",iferror(max(min(TTM!K104,1),-0.3),""))</f>
        <v>1</v>
      </c>
      <c r="L104" s="14">
        <f>if(TTM!L104="","",iferror(max(min(TTM!L104,1),-0.3),""))</f>
        <v>1</v>
      </c>
      <c r="M104" s="14">
        <f>if(TTM!M104="","",iferror(max(min(TTM!M104,1),-0.3),""))</f>
        <v>0.6814231644</v>
      </c>
      <c r="N104" s="14">
        <f>if(TTM!N104="","",iferror(max(min(TTM!N104,1),-0.3),""))</f>
        <v>1</v>
      </c>
      <c r="O104" s="14">
        <f>if(TTM!O104="","",iferror(max(min(TTM!O104,1),-0.3),""))</f>
        <v>1</v>
      </c>
      <c r="P104" s="14">
        <f>if(TTM!P104="","",iferror(max(min(TTM!P104,1),-0.3),""))</f>
        <v>0.5548245614</v>
      </c>
      <c r="Q104" s="14" t="str">
        <f>if(TTM!Q104="","",iferror(max(min(TTM!Q104,1),-0.3),""))</f>
        <v/>
      </c>
      <c r="R104" s="14"/>
      <c r="S104" s="14">
        <f>if(TTM!S104="","",iferror(max(min(TTM!S104,1),-0.3),""))</f>
        <v>0.6030199219</v>
      </c>
      <c r="T104" s="14">
        <f>if(TTM!T104="","",iferror(max(min(TTM!T104,1),-0.3),""))</f>
        <v>0.5664164146</v>
      </c>
      <c r="U104" s="14">
        <f>if(TTM!U104="","",iferror(max(min(TTM!U104,1),-0.3),""))</f>
        <v>0.8983326653</v>
      </c>
      <c r="V104" s="14" t="str">
        <f>if(TTM!V104="","",iferror(max(min(TTM!V104,1),-0.3),""))</f>
        <v/>
      </c>
      <c r="W104" s="14" t="str">
        <f>if(TTM!W104="","",iferror(max(min(TTM!W104,1),-0.3),""))</f>
        <v/>
      </c>
      <c r="X104" s="14">
        <f>if(TTM!X104="","",iferror(max(min(TTM!X104,1),-0.3),""))</f>
        <v>0.5173112828</v>
      </c>
      <c r="Y104" s="14">
        <f>if(TTM!Y104="","",iferror(max(min(TTM!Y104,1),-0.3),""))</f>
        <v>0.6742882928</v>
      </c>
      <c r="Z104" s="14">
        <f>if(TTM!Z104="","",iferror(max(min(TTM!Z104,1),-0.3),""))</f>
        <v>0.7792506137</v>
      </c>
      <c r="AA104" s="14">
        <f>if(TTM!AA104="","",iferror(max(min(TTM!AA104,1),-0.3),""))</f>
        <v>-0.123422357</v>
      </c>
      <c r="AB104" s="14">
        <f>if(TTM!AB104="","",iferror(max(min(TTM!AB104,1),-0.3),""))</f>
        <v>-0.09686041316</v>
      </c>
      <c r="AC104" s="14">
        <f>if(TTM!AC104="","",iferror(max(min(TTM!AC104,1),-0.3),""))</f>
        <v>0.3070649463</v>
      </c>
      <c r="AD104" s="12"/>
    </row>
    <row r="105">
      <c r="A105" s="15" t="s">
        <v>132</v>
      </c>
      <c r="B105" s="14">
        <f>if(TTM!B105="","",iferror(max(min(TTM!B105,1),-0.3),""))</f>
        <v>0.5875072249</v>
      </c>
      <c r="C105" s="14">
        <f>if(TTM!C105="","",iferror(max(min(TTM!C105,1),-0.3),""))</f>
        <v>1</v>
      </c>
      <c r="D105" s="14">
        <f>if(TTM!D105="","",iferror(max(min(TTM!D105,1),-0.3),""))</f>
        <v>0.7527070517</v>
      </c>
      <c r="E105" s="14">
        <f>if(TTM!E105="","",iferror(max(min(TTM!E105,1),-0.3),""))</f>
        <v>-0.0444657134</v>
      </c>
      <c r="F105" s="14">
        <f>if(TTM!F105="","",iferror(max(min(TTM!F105,1),-0.3),""))</f>
        <v>0.8742467695</v>
      </c>
      <c r="G105" s="14">
        <f>if(TTM!G105="","",iferror(max(min(TTM!G105,1),-0.3),""))</f>
        <v>1</v>
      </c>
      <c r="H105" s="14">
        <f>if(TTM!H105="","",iferror(max(min(TTM!H105,1),-0.3),""))</f>
        <v>1</v>
      </c>
      <c r="I105" s="14">
        <f>if(TTM!I105="","",iferror(max(min(TTM!I105,1),-0.3),""))</f>
        <v>1</v>
      </c>
      <c r="J105" s="14">
        <f>if(TTM!J105="","",iferror(max(min(TTM!J105,1),-0.3),""))</f>
        <v>1</v>
      </c>
      <c r="K105" s="14">
        <f>if(TTM!K105="","",iferror(max(min(TTM!K105,1),-0.3),""))</f>
        <v>0.9505784724</v>
      </c>
      <c r="L105" s="14">
        <f>if(TTM!L105="","",iferror(max(min(TTM!L105,1),-0.3),""))</f>
        <v>1</v>
      </c>
      <c r="M105" s="14">
        <f>if(TTM!M105="","",iferror(max(min(TTM!M105,1),-0.3),""))</f>
        <v>0.8130681354</v>
      </c>
      <c r="N105" s="14">
        <f>if(TTM!N105="","",iferror(max(min(TTM!N105,1),-0.3),""))</f>
        <v>1</v>
      </c>
      <c r="O105" s="14">
        <f>if(TTM!O105="","",iferror(max(min(TTM!O105,1),-0.3),""))</f>
        <v>1</v>
      </c>
      <c r="P105" s="14">
        <f>if(TTM!P105="","",iferror(max(min(TTM!P105,1),-0.3),""))</f>
        <v>0.7938596491</v>
      </c>
      <c r="Q105" s="14" t="str">
        <f>if(TTM!Q105="","",iferror(max(min(TTM!Q105,1),-0.3),""))</f>
        <v/>
      </c>
      <c r="R105" s="14"/>
      <c r="S105" s="14">
        <f>if(TTM!S105="","",iferror(max(min(TTM!S105,1),-0.3),""))</f>
        <v>0.681541502</v>
      </c>
      <c r="T105" s="14">
        <f>if(TTM!T105="","",iferror(max(min(TTM!T105,1),-0.3),""))</f>
        <v>0.5588379387</v>
      </c>
      <c r="U105" s="14">
        <f>if(TTM!U105="","",iferror(max(min(TTM!U105,1),-0.3),""))</f>
        <v>0.8946925508</v>
      </c>
      <c r="V105" s="14" t="str">
        <f>if(TTM!V105="","",iferror(max(min(TTM!V105,1),-0.3),""))</f>
        <v/>
      </c>
      <c r="W105" s="14" t="str">
        <f>if(TTM!W105="","",iferror(max(min(TTM!W105,1),-0.3),""))</f>
        <v/>
      </c>
      <c r="X105" s="14">
        <f>if(TTM!X105="","",iferror(max(min(TTM!X105,1),-0.3),""))</f>
        <v>0.6632034517</v>
      </c>
      <c r="Y105" s="14">
        <f>if(TTM!Y105="","",iferror(max(min(TTM!Y105,1),-0.3),""))</f>
        <v>0.9554717666</v>
      </c>
      <c r="Z105" s="14">
        <f>if(TTM!Z105="","",iferror(max(min(TTM!Z105,1),-0.3),""))</f>
        <v>1</v>
      </c>
      <c r="AA105" s="14">
        <f>if(TTM!AA105="","",iferror(max(min(TTM!AA105,1),-0.3),""))</f>
        <v>-0.3</v>
      </c>
      <c r="AB105" s="14">
        <f>if(TTM!AB105="","",iferror(max(min(TTM!AB105,1),-0.3),""))</f>
        <v>-0.1681126218</v>
      </c>
      <c r="AC105" s="14">
        <f>if(TTM!AC105="","",iferror(max(min(TTM!AC105,1),-0.3),""))</f>
        <v>0.5158737165</v>
      </c>
      <c r="AD105" s="12"/>
    </row>
    <row r="106">
      <c r="A106" s="15" t="s">
        <v>133</v>
      </c>
      <c r="B106" s="14">
        <f>if(TTM!B106="","",iferror(max(min(TTM!B106,1),-0.3),""))</f>
        <v>0.4519217805</v>
      </c>
      <c r="C106" s="14">
        <f>if(TTM!C106="","",iferror(max(min(TTM!C106,1),-0.3),""))</f>
        <v>0.750615949</v>
      </c>
      <c r="D106" s="14">
        <f>if(TTM!D106="","",iferror(max(min(TTM!D106,1),-0.3),""))</f>
        <v>0.4206009363</v>
      </c>
      <c r="E106" s="14">
        <f>if(TTM!E106="","",iferror(max(min(TTM!E106,1),-0.3),""))</f>
        <v>-0.03762500077</v>
      </c>
      <c r="F106" s="14">
        <f>if(TTM!F106="","",iferror(max(min(TTM!F106,1),-0.3),""))</f>
        <v>0.7220701348</v>
      </c>
      <c r="G106" s="14">
        <f>if(TTM!G106="","",iferror(max(min(TTM!G106,1),-0.3),""))</f>
        <v>0.6698145008</v>
      </c>
      <c r="H106" s="14">
        <f>if(TTM!H106="","",iferror(max(min(TTM!H106,1),-0.3),""))</f>
        <v>1</v>
      </c>
      <c r="I106" s="14">
        <f>if(TTM!I106="","",iferror(max(min(TTM!I106,1),-0.3),""))</f>
        <v>0.8035765044</v>
      </c>
      <c r="J106" s="14">
        <f>if(TTM!J106="","",iferror(max(min(TTM!J106,1),-0.3),""))</f>
        <v>1</v>
      </c>
      <c r="K106" s="14">
        <f>if(TTM!K106="","",iferror(max(min(TTM!K106,1),-0.3),""))</f>
        <v>0.5827713623</v>
      </c>
      <c r="L106" s="14">
        <f>if(TTM!L106="","",iferror(max(min(TTM!L106,1),-0.3),""))</f>
        <v>0.7193439495</v>
      </c>
      <c r="M106" s="14">
        <f>if(TTM!M106="","",iferror(max(min(TTM!M106,1),-0.3),""))</f>
        <v>0.468197372</v>
      </c>
      <c r="N106" s="14">
        <f>if(TTM!N106="","",iferror(max(min(TTM!N106,1),-0.3),""))</f>
        <v>1</v>
      </c>
      <c r="O106" s="14">
        <f>if(TTM!O106="","",iferror(max(min(TTM!O106,1),-0.3),""))</f>
        <v>1</v>
      </c>
      <c r="P106" s="14">
        <f>if(TTM!P106="","",iferror(max(min(TTM!P106,1),-0.3),""))</f>
        <v>1</v>
      </c>
      <c r="Q106" s="14" t="str">
        <f>if(TTM!Q106="","",iferror(max(min(TTM!Q106,1),-0.3),""))</f>
        <v/>
      </c>
      <c r="R106" s="14"/>
      <c r="S106" s="14">
        <f>if(TTM!S106="","",iferror(max(min(TTM!S106,1),-0.3),""))</f>
        <v>0.760063082</v>
      </c>
      <c r="T106" s="14">
        <f>if(TTM!T106="","",iferror(max(min(TTM!T106,1),-0.3),""))</f>
        <v>0.6493748911</v>
      </c>
      <c r="U106" s="14">
        <f>if(TTM!U106="","",iferror(max(min(TTM!U106,1),-0.3),""))</f>
        <v>0.7206102387</v>
      </c>
      <c r="V106" s="14" t="str">
        <f>if(TTM!V106="","",iferror(max(min(TTM!V106,1),-0.3),""))</f>
        <v/>
      </c>
      <c r="W106" s="14" t="str">
        <f>if(TTM!W106="","",iferror(max(min(TTM!W106,1),-0.3),""))</f>
        <v/>
      </c>
      <c r="X106" s="14">
        <f>if(TTM!X106="","",iferror(max(min(TTM!X106,1),-0.3),""))</f>
        <v>0.8090956206</v>
      </c>
      <c r="Y106" s="14">
        <f>if(TTM!Y106="","",iferror(max(min(TTM!Y106,1),-0.3),""))</f>
        <v>1</v>
      </c>
      <c r="Z106" s="14">
        <f>if(TTM!Z106="","",iferror(max(min(TTM!Z106,1),-0.3),""))</f>
        <v>1</v>
      </c>
      <c r="AA106" s="14">
        <f>if(TTM!AA106="","",iferror(max(min(TTM!AA106,1),-0.3),""))</f>
        <v>-0.3</v>
      </c>
      <c r="AB106" s="14">
        <f>if(TTM!AB106="","",iferror(max(min(TTM!AB106,1),-0.3),""))</f>
        <v>-0.2393648304</v>
      </c>
      <c r="AC106" s="14">
        <f>if(TTM!AC106="","",iferror(max(min(TTM!AC106,1),-0.3),""))</f>
        <v>0.7246824866</v>
      </c>
      <c r="AD106" s="12"/>
    </row>
    <row r="107">
      <c r="A107" s="15" t="s">
        <v>134</v>
      </c>
      <c r="B107" s="14">
        <f>if(TTM!B107="","",iferror(max(min(TTM!B107,1),-0.3),""))</f>
        <v>0.3278042328</v>
      </c>
      <c r="C107" s="14">
        <f>if(TTM!C107="","",iferror(max(min(TTM!C107,1),-0.3),""))</f>
        <v>0.5105889734</v>
      </c>
      <c r="D107" s="14">
        <f>if(TTM!D107="","",iferror(max(min(TTM!D107,1),-0.3),""))</f>
        <v>0.2655997301</v>
      </c>
      <c r="E107" s="14">
        <f>if(TTM!E107="","",iferror(max(min(TTM!E107,1),-0.3),""))</f>
        <v>0.2205790711</v>
      </c>
      <c r="F107" s="14">
        <f>if(TTM!F107="","",iferror(max(min(TTM!F107,1),-0.3),""))</f>
        <v>0.5435574432</v>
      </c>
      <c r="G107" s="14">
        <f>if(TTM!G107="","",iferror(max(min(TTM!G107,1),-0.3),""))</f>
        <v>0.2777606979</v>
      </c>
      <c r="H107" s="14">
        <f>if(TTM!H107="","",iferror(max(min(TTM!H107,1),-0.3),""))</f>
        <v>0.5487203261</v>
      </c>
      <c r="I107" s="14">
        <f>if(TTM!I107="","",iferror(max(min(TTM!I107,1),-0.3),""))</f>
        <v>0.6145131097</v>
      </c>
      <c r="J107" s="14">
        <f>if(TTM!J107="","",iferror(max(min(TTM!J107,1),-0.3),""))</f>
        <v>1</v>
      </c>
      <c r="K107" s="14">
        <f>if(TTM!K107="","",iferror(max(min(TTM!K107,1),-0.3),""))</f>
        <v>0.2365478942</v>
      </c>
      <c r="L107" s="14">
        <f>if(TTM!L107="","",iferror(max(min(TTM!L107,1),-0.3),""))</f>
        <v>0.5402713468</v>
      </c>
      <c r="M107" s="14">
        <f>if(TTM!M107="","",iferror(max(min(TTM!M107,1),-0.3),""))</f>
        <v>0.3482116427</v>
      </c>
      <c r="N107" s="14">
        <f>if(TTM!N107="","",iferror(max(min(TTM!N107,1),-0.3),""))</f>
        <v>0.9096813529</v>
      </c>
      <c r="O107" s="14">
        <f>if(TTM!O107="","",iferror(max(min(TTM!O107,1),-0.3),""))</f>
        <v>1</v>
      </c>
      <c r="P107" s="14">
        <f>if(TTM!P107="","",iferror(max(min(TTM!P107,1),-0.3),""))</f>
        <v>1</v>
      </c>
      <c r="Q107" s="14" t="str">
        <f>if(TTM!Q107="","",iferror(max(min(TTM!Q107,1),-0.3),""))</f>
        <v/>
      </c>
      <c r="R107" s="14"/>
      <c r="S107" s="14">
        <f>if(TTM!S107="","",iferror(max(min(TTM!S107,1),-0.3),""))</f>
        <v>0.6187508267</v>
      </c>
      <c r="T107" s="14">
        <f>if(TTM!T107="","",iferror(max(min(TTM!T107,1),-0.3),""))</f>
        <v>0.670893335</v>
      </c>
      <c r="U107" s="14">
        <f>if(TTM!U107="","",iferror(max(min(TTM!U107,1),-0.3),""))</f>
        <v>0.8886154824</v>
      </c>
      <c r="V107" s="14" t="str">
        <f>if(TTM!V107="","",iferror(max(min(TTM!V107,1),-0.3),""))</f>
        <v/>
      </c>
      <c r="W107" s="14" t="str">
        <f>if(TTM!W107="","",iferror(max(min(TTM!W107,1),-0.3),""))</f>
        <v/>
      </c>
      <c r="X107" s="14">
        <f>if(TTM!X107="","",iferror(max(min(TTM!X107,1),-0.3),""))</f>
        <v>0.9549877895</v>
      </c>
      <c r="Y107" s="14">
        <f>if(TTM!Y107="","",iferror(max(min(TTM!Y107,1),-0.3),""))</f>
        <v>0.9962190141</v>
      </c>
      <c r="Z107" s="14">
        <f>if(TTM!Z107="","",iferror(max(min(TTM!Z107,1),-0.3),""))</f>
        <v>1</v>
      </c>
      <c r="AA107" s="14">
        <f>if(TTM!AA107="","",iferror(max(min(TTM!AA107,1),-0.3),""))</f>
        <v>-0.3</v>
      </c>
      <c r="AB107" s="14" t="str">
        <f>if(TTM!AB107="","",iferror(max(min(TTM!AB107,1),-0.3),""))</f>
        <v/>
      </c>
      <c r="AC107" s="14">
        <f>if(TTM!AC107="","",iferror(max(min(TTM!AC107,1),-0.3),""))</f>
        <v>0.6216363833</v>
      </c>
      <c r="AD107" s="12"/>
    </row>
    <row r="108">
      <c r="A108" s="15" t="s">
        <v>135</v>
      </c>
      <c r="B108" s="14">
        <f>if(TTM!B108="","",iferror(max(min(TTM!B108,1),-0.3),""))</f>
        <v>0.2289716278</v>
      </c>
      <c r="C108" s="14">
        <f>if(TTM!C108="","",iferror(max(min(TTM!C108,1),-0.3),""))</f>
        <v>0.3316000957</v>
      </c>
      <c r="D108" s="14">
        <f>if(TTM!D108="","",iferror(max(min(TTM!D108,1),-0.3),""))</f>
        <v>0.1527932544</v>
      </c>
      <c r="E108" s="14">
        <f>if(TTM!E108="","",iferror(max(min(TTM!E108,1),-0.3),""))</f>
        <v>0.704960478</v>
      </c>
      <c r="F108" s="14">
        <f>if(TTM!F108="","",iferror(max(min(TTM!F108,1),-0.3),""))</f>
        <v>0.3961034914</v>
      </c>
      <c r="G108" s="14">
        <f>if(TTM!G108="","",iferror(max(min(TTM!G108,1),-0.3),""))</f>
        <v>0.1135682182</v>
      </c>
      <c r="H108" s="14">
        <f>if(TTM!H108="","",iferror(max(min(TTM!H108,1),-0.3),""))</f>
        <v>0.2864381694</v>
      </c>
      <c r="I108" s="14">
        <f>if(TTM!I108="","",iferror(max(min(TTM!I108,1),-0.3),""))</f>
        <v>0.3895262664</v>
      </c>
      <c r="J108" s="14">
        <f>if(TTM!J108="","",iferror(max(min(TTM!J108,1),-0.3),""))</f>
        <v>0.6206349267</v>
      </c>
      <c r="K108" s="14">
        <f>if(TTM!K108="","",iferror(max(min(TTM!K108,1),-0.3),""))</f>
        <v>0.2369146529</v>
      </c>
      <c r="L108" s="14">
        <f>if(TTM!L108="","",iferror(max(min(TTM!L108,1),-0.3),""))</f>
        <v>0.6093140637</v>
      </c>
      <c r="M108" s="14">
        <f>if(TTM!M108="","",iferror(max(min(TTM!M108,1),-0.3),""))</f>
        <v>0.3988205598</v>
      </c>
      <c r="N108" s="14">
        <f>if(TTM!N108="","",iferror(max(min(TTM!N108,1),-0.3),""))</f>
        <v>0.6087923658</v>
      </c>
      <c r="O108" s="14">
        <f>if(TTM!O108="","",iferror(max(min(TTM!O108,1),-0.3),""))</f>
        <v>1</v>
      </c>
      <c r="P108" s="14">
        <f>if(TTM!P108="","",iferror(max(min(TTM!P108,1),-0.3),""))</f>
        <v>1</v>
      </c>
      <c r="Q108" s="14" t="str">
        <f>if(TTM!Q108="","",iferror(max(min(TTM!Q108,1),-0.3),""))</f>
        <v/>
      </c>
      <c r="R108" s="14"/>
      <c r="S108" s="14">
        <f>if(TTM!S108="","",iferror(max(min(TTM!S108,1),-0.3),""))</f>
        <v>0.4834729858</v>
      </c>
      <c r="T108" s="14">
        <f>if(TTM!T108="","",iferror(max(min(TTM!T108,1),-0.3),""))</f>
        <v>0.6426567832</v>
      </c>
      <c r="U108" s="14">
        <f>if(TTM!U108="","",iferror(max(min(TTM!U108,1),-0.3),""))</f>
        <v>0.4958920623</v>
      </c>
      <c r="V108" s="14" t="str">
        <f>if(TTM!V108="","",iferror(max(min(TTM!V108,1),-0.3),""))</f>
        <v/>
      </c>
      <c r="W108" s="14" t="str">
        <f>if(TTM!W108="","",iferror(max(min(TTM!W108,1),-0.3),""))</f>
        <v/>
      </c>
      <c r="X108" s="14">
        <f>if(TTM!X108="","",iferror(max(min(TTM!X108,1),-0.3),""))</f>
        <v>1</v>
      </c>
      <c r="Y108" s="14">
        <f>if(TTM!Y108="","",iferror(max(min(TTM!Y108,1),-0.3),""))</f>
        <v>0.7557827877</v>
      </c>
      <c r="Z108" s="14">
        <f>if(TTM!Z108="","",iferror(max(min(TTM!Z108,1),-0.3),""))</f>
        <v>1</v>
      </c>
      <c r="AA108" s="14">
        <f>if(TTM!AA108="","",iferror(max(min(TTM!AA108,1),-0.3),""))</f>
        <v>-0.2352277318</v>
      </c>
      <c r="AB108" s="14" t="str">
        <f>if(TTM!AB108="","",iferror(max(min(TTM!AB108,1),-0.3),""))</f>
        <v/>
      </c>
      <c r="AC108" s="14">
        <f>if(TTM!AC108="","",iferror(max(min(TTM!AC108,1),-0.3),""))</f>
        <v>0.5185902799</v>
      </c>
      <c r="AD108" s="12"/>
    </row>
    <row r="109">
      <c r="A109" s="15" t="s">
        <v>136</v>
      </c>
      <c r="B109" s="14">
        <f>if(TTM!B109="","",iferror(max(min(TTM!B109,1),-0.3),""))</f>
        <v>0.2011090161</v>
      </c>
      <c r="C109" s="14">
        <f>if(TTM!C109="","",iferror(max(min(TTM!C109,1),-0.3),""))</f>
        <v>0.3112798048</v>
      </c>
      <c r="D109" s="14">
        <f>if(TTM!D109="","",iferror(max(min(TTM!D109,1),-0.3),""))</f>
        <v>0.1187556128</v>
      </c>
      <c r="E109" s="14">
        <f>if(TTM!E109="","",iferror(max(min(TTM!E109,1),-0.3),""))</f>
        <v>0.8997703419</v>
      </c>
      <c r="F109" s="14">
        <f>if(TTM!F109="","",iferror(max(min(TTM!F109,1),-0.3),""))</f>
        <v>0.307695631</v>
      </c>
      <c r="G109" s="14">
        <f>if(TTM!G109="","",iferror(max(min(TTM!G109,1),-0.3),""))</f>
        <v>-0.002944297881</v>
      </c>
      <c r="H109" s="14">
        <f>if(TTM!H109="","",iferror(max(min(TTM!H109,1),-0.3),""))</f>
        <v>0.223537865</v>
      </c>
      <c r="I109" s="14">
        <f>if(TTM!I109="","",iferror(max(min(TTM!I109,1),-0.3),""))</f>
        <v>0.2587318675</v>
      </c>
      <c r="J109" s="14">
        <f>if(TTM!J109="","",iferror(max(min(TTM!J109,1),-0.3),""))</f>
        <v>0.4556622081</v>
      </c>
      <c r="K109" s="14">
        <f>if(TTM!K109="","",iferror(max(min(TTM!K109,1),-0.3),""))</f>
        <v>0.2534762745</v>
      </c>
      <c r="L109" s="14">
        <f>if(TTM!L109="","",iferror(max(min(TTM!L109,1),-0.3),""))</f>
        <v>0.6158617334</v>
      </c>
      <c r="M109" s="14">
        <f>if(TTM!M109="","",iferror(max(min(TTM!M109,1),-0.3),""))</f>
        <v>0.2989427283</v>
      </c>
      <c r="N109" s="14">
        <f>if(TTM!N109="","",iferror(max(min(TTM!N109,1),-0.3),""))</f>
        <v>0.4344083232</v>
      </c>
      <c r="O109" s="14">
        <f>if(TTM!O109="","",iferror(max(min(TTM!O109,1),-0.3),""))</f>
        <v>0.8315370698</v>
      </c>
      <c r="P109" s="14">
        <f>if(TTM!P109="","",iferror(max(min(TTM!P109,1),-0.3),""))</f>
        <v>0.9958913663</v>
      </c>
      <c r="Q109" s="14" t="str">
        <f>if(TTM!Q109="","",iferror(max(min(TTM!Q109,1),-0.3),""))</f>
        <v/>
      </c>
      <c r="R109" s="14"/>
      <c r="S109" s="14">
        <f>if(TTM!S109="","",iferror(max(min(TTM!S109,1),-0.3),""))</f>
        <v>0.3166820918</v>
      </c>
      <c r="T109" s="14">
        <f>if(TTM!T109="","",iferror(max(min(TTM!T109,1),-0.3),""))</f>
        <v>0.5234104727</v>
      </c>
      <c r="U109" s="14">
        <f>if(TTM!U109="","",iferror(max(min(TTM!U109,1),-0.3),""))</f>
        <v>0.3544393641</v>
      </c>
      <c r="V109" s="14" t="str">
        <f>if(TTM!V109="","",iferror(max(min(TTM!V109,1),-0.3),""))</f>
        <v/>
      </c>
      <c r="W109" s="14" t="str">
        <f>if(TTM!W109="","",iferror(max(min(TTM!W109,1),-0.3),""))</f>
        <v/>
      </c>
      <c r="X109" s="14">
        <f>if(TTM!X109="","",iferror(max(min(TTM!X109,1),-0.3),""))</f>
        <v>0.8782412719</v>
      </c>
      <c r="Y109" s="14">
        <f>if(TTM!Y109="","",iferror(max(min(TTM!Y109,1),-0.3),""))</f>
        <v>0.5153465613</v>
      </c>
      <c r="Z109" s="14">
        <f>if(TTM!Z109="","",iferror(max(min(TTM!Z109,1),-0.3),""))</f>
        <v>0.9061628043</v>
      </c>
      <c r="AA109" s="14">
        <f>if(TTM!AA109="","",iferror(max(min(TTM!AA109,1),-0.3),""))</f>
        <v>-0.02291754167</v>
      </c>
      <c r="AB109" s="14" t="str">
        <f>if(TTM!AB109="","",iferror(max(min(TTM!AB109,1),-0.3),""))</f>
        <v/>
      </c>
      <c r="AC109" s="14">
        <f>if(TTM!AC109="","",iferror(max(min(TTM!AC109,1),-0.3),""))</f>
        <v>0.4155441765</v>
      </c>
      <c r="AD109" s="12"/>
    </row>
    <row r="110">
      <c r="A110" s="15" t="s">
        <v>137</v>
      </c>
      <c r="B110" s="14">
        <f>if(TTM!B110="","",iferror(max(min(TTM!B110,1),-0.3),""))</f>
        <v>0.182305356</v>
      </c>
      <c r="C110" s="14">
        <f>if(TTM!C110="","",iferror(max(min(TTM!C110,1),-0.3),""))</f>
        <v>0.2670941212</v>
      </c>
      <c r="D110" s="14">
        <f>if(TTM!D110="","",iferror(max(min(TTM!D110,1),-0.3),""))</f>
        <v>0.1072557977</v>
      </c>
      <c r="E110" s="14">
        <f>if(TTM!E110="","",iferror(max(min(TTM!E110,1),-0.3),""))</f>
        <v>1</v>
      </c>
      <c r="F110" s="14">
        <f>if(TTM!F110="","",iferror(max(min(TTM!F110,1),-0.3),""))</f>
        <v>0.2158994428</v>
      </c>
      <c r="G110" s="14">
        <f>if(TTM!G110="","",iferror(max(min(TTM!G110,1),-0.3),""))</f>
        <v>-0.07860255386</v>
      </c>
      <c r="H110" s="14">
        <f>if(TTM!H110="","",iferror(max(min(TTM!H110,1),-0.3),""))</f>
        <v>0.1635490701</v>
      </c>
      <c r="I110" s="14">
        <f>if(TTM!I110="","",iferror(max(min(TTM!I110,1),-0.3),""))</f>
        <v>0.3164405411</v>
      </c>
      <c r="J110" s="14">
        <f>if(TTM!J110="","",iferror(max(min(TTM!J110,1),-0.3),""))</f>
        <v>0.3990794555</v>
      </c>
      <c r="K110" s="14">
        <f>if(TTM!K110="","",iferror(max(min(TTM!K110,1),-0.3),""))</f>
        <v>0.2825629776</v>
      </c>
      <c r="L110" s="14">
        <f>if(TTM!L110="","",iferror(max(min(TTM!L110,1),-0.3),""))</f>
        <v>0.5764790367</v>
      </c>
      <c r="M110" s="14">
        <f>if(TTM!M110="","",iferror(max(min(TTM!M110,1),-0.3),""))</f>
        <v>0.6611692845</v>
      </c>
      <c r="N110" s="14">
        <f>if(TTM!N110="","",iferror(max(min(TTM!N110,1),-0.3),""))</f>
        <v>0.4528820473</v>
      </c>
      <c r="O110" s="14">
        <f>if(TTM!O110="","",iferror(max(min(TTM!O110,1),-0.3),""))</f>
        <v>0.5643661592</v>
      </c>
      <c r="P110" s="14">
        <f>if(TTM!P110="","",iferror(max(min(TTM!P110,1),-0.3),""))</f>
        <v>0.530764216</v>
      </c>
      <c r="Q110" s="14" t="str">
        <f>if(TTM!Q110="","",iferror(max(min(TTM!Q110,1),-0.3),""))</f>
        <v/>
      </c>
      <c r="R110" s="14"/>
      <c r="S110" s="14">
        <f>if(TTM!S110="","",iferror(max(min(TTM!S110,1),-0.3),""))</f>
        <v>0.07714297905</v>
      </c>
      <c r="T110" s="14">
        <f>if(TTM!T110="","",iferror(max(min(TTM!T110,1),-0.3),""))</f>
        <v>0.2685823715</v>
      </c>
      <c r="U110" s="14">
        <f>if(TTM!U110="","",iferror(max(min(TTM!U110,1),-0.3),""))</f>
        <v>0.3371208613</v>
      </c>
      <c r="V110" s="14" t="str">
        <f>if(TTM!V110="","",iferror(max(min(TTM!V110,1),-0.3),""))</f>
        <v/>
      </c>
      <c r="W110" s="14" t="str">
        <f>if(TTM!W110="","",iferror(max(min(TTM!W110,1),-0.3),""))</f>
        <v/>
      </c>
      <c r="X110" s="14">
        <f>if(TTM!X110="","",iferror(max(min(TTM!X110,1),-0.3),""))</f>
        <v>0.6556025853</v>
      </c>
      <c r="Y110" s="14">
        <f>if(TTM!Y110="","",iferror(max(min(TTM!Y110,1),-0.3),""))</f>
        <v>0.2749103349</v>
      </c>
      <c r="Z110" s="14">
        <f>if(TTM!Z110="","",iferror(max(min(TTM!Z110,1),-0.3),""))</f>
        <v>0.7987019185</v>
      </c>
      <c r="AA110" s="14">
        <f>if(TTM!AA110="","",iferror(max(min(TTM!AA110,1),-0.3),""))</f>
        <v>0.1893926485</v>
      </c>
      <c r="AB110" s="14" t="str">
        <f>if(TTM!AB110="","",iferror(max(min(TTM!AB110,1),-0.3),""))</f>
        <v/>
      </c>
      <c r="AC110" s="14">
        <f>if(TTM!AC110="","",iferror(max(min(TTM!AC110,1),-0.3),""))</f>
        <v>0.3124980731</v>
      </c>
      <c r="AD110" s="12"/>
    </row>
    <row r="111">
      <c r="A111" s="15" t="s">
        <v>138</v>
      </c>
      <c r="B111" s="14">
        <f>if(TTM!B111="","",iferror(max(min(TTM!B111,1),-0.3),""))</f>
        <v>0.1756543933</v>
      </c>
      <c r="C111" s="14">
        <f>if(TTM!C111="","",iferror(max(min(TTM!C111,1),-0.3),""))</f>
        <v>0.2087822315</v>
      </c>
      <c r="D111" s="14">
        <f>if(TTM!D111="","",iferror(max(min(TTM!D111,1),-0.3),""))</f>
        <v>0.08202615631</v>
      </c>
      <c r="E111" s="14">
        <f>if(TTM!E111="","",iferror(max(min(TTM!E111,1),-0.3),""))</f>
        <v>0.9413299067</v>
      </c>
      <c r="F111" s="14">
        <f>if(TTM!F111="","",iferror(max(min(TTM!F111,1),-0.3),""))</f>
        <v>0.128064316</v>
      </c>
      <c r="G111" s="14">
        <f>if(TTM!G111="","",iferror(max(min(TTM!G111,1),-0.3),""))</f>
        <v>-0.1233470286</v>
      </c>
      <c r="H111" s="14">
        <f>if(TTM!H111="","",iferror(max(min(TTM!H111,1),-0.3),""))</f>
        <v>0.1284274047</v>
      </c>
      <c r="I111" s="14">
        <f>if(TTM!I111="","",iferror(max(min(TTM!I111,1),-0.3),""))</f>
        <v>0.2371059274</v>
      </c>
      <c r="J111" s="14">
        <f>if(TTM!J111="","",iferror(max(min(TTM!J111,1),-0.3),""))</f>
        <v>0.3214427112</v>
      </c>
      <c r="K111" s="14">
        <f>if(TTM!K111="","",iferror(max(min(TTM!K111,1),-0.3),""))</f>
        <v>0.259706008</v>
      </c>
      <c r="L111" s="14">
        <f>if(TTM!L111="","",iferror(max(min(TTM!L111,1),-0.3),""))</f>
        <v>0.4514151209</v>
      </c>
      <c r="M111" s="14">
        <f>if(TTM!M111="","",iferror(max(min(TTM!M111,1),-0.3),""))</f>
        <v>0.6444455687</v>
      </c>
      <c r="N111" s="14">
        <f>if(TTM!N111="","",iferror(max(min(TTM!N111,1),-0.3),""))</f>
        <v>0.4084505697</v>
      </c>
      <c r="O111" s="14">
        <f>if(TTM!O111="","",iferror(max(min(TTM!O111,1),-0.3),""))</f>
        <v>0.2971952486</v>
      </c>
      <c r="P111" s="14">
        <f>if(TTM!P111="","",iferror(max(min(TTM!P111,1),-0.3),""))</f>
        <v>0.06563706564</v>
      </c>
      <c r="Q111" s="14" t="str">
        <f>if(TTM!Q111="","",iferror(max(min(TTM!Q111,1),-0.3),""))</f>
        <v/>
      </c>
      <c r="R111" s="14"/>
      <c r="S111" s="14">
        <f>if(TTM!S111="","",iferror(max(min(TTM!S111,1),-0.3),""))</f>
        <v>-0.001582982838</v>
      </c>
      <c r="T111" s="14">
        <f>if(TTM!T111="","",iferror(max(min(TTM!T111,1),-0.3),""))</f>
        <v>0.1309138977</v>
      </c>
      <c r="U111" s="14">
        <f>if(TTM!U111="","",iferror(max(min(TTM!U111,1),-0.3),""))</f>
        <v>0.1029469284</v>
      </c>
      <c r="V111" s="14" t="str">
        <f>if(TTM!V111="","",iferror(max(min(TTM!V111,1),-0.3),""))</f>
        <v/>
      </c>
      <c r="W111" s="14" t="str">
        <f>if(TTM!W111="","",iferror(max(min(TTM!W111,1),-0.3),""))</f>
        <v/>
      </c>
      <c r="X111" s="14">
        <f>if(TTM!X111="","",iferror(max(min(TTM!X111,1),-0.3),""))</f>
        <v>0.4329638987</v>
      </c>
      <c r="Y111" s="14" t="str">
        <f>if(TTM!Y111="","",iferror(max(min(TTM!Y111,1),-0.3),""))</f>
        <v/>
      </c>
      <c r="Z111" s="14" t="str">
        <f>if(TTM!Z111="","",iferror(max(min(TTM!Z111,1),-0.3),""))</f>
        <v/>
      </c>
      <c r="AA111" s="14" t="str">
        <f>if(TTM!AA111="","",iferror(max(min(TTM!AA111,1),-0.3),""))</f>
        <v/>
      </c>
      <c r="AB111" s="14" t="str">
        <f>if(TTM!AB111="","",iferror(max(min(TTM!AB111,1),-0.3),""))</f>
        <v/>
      </c>
      <c r="AC111" s="14" t="str">
        <f>if(TTM!AC111="","",iferror(max(min(TTM!AC111,1),-0.3),""))</f>
        <v/>
      </c>
      <c r="AD111" s="12"/>
    </row>
    <row r="112">
      <c r="A112" s="15" t="s">
        <v>139</v>
      </c>
      <c r="B112" s="14">
        <f>if(TTM!B112="","",iferror(max(min(TTM!B112,1),-0.3),""))</f>
        <v>0.1570873597</v>
      </c>
      <c r="C112" s="14">
        <f>if(TTM!C112="","",iferror(max(min(TTM!C112,1),-0.3),""))</f>
        <v>0.1589513681</v>
      </c>
      <c r="D112" s="14">
        <f>if(TTM!D112="","",iferror(max(min(TTM!D112,1),-0.3),""))</f>
        <v>0.08300525178</v>
      </c>
      <c r="E112" s="14">
        <f>if(TTM!E112="","",iferror(max(min(TTM!E112,1),-0.3),""))</f>
        <v>0.5757283464</v>
      </c>
      <c r="F112" s="14">
        <f>if(TTM!F112="","",iferror(max(min(TTM!F112,1),-0.3),""))</f>
        <v>0.08341946507</v>
      </c>
      <c r="G112" s="14">
        <f>if(TTM!G112="","",iferror(max(min(TTM!G112,1),-0.3),""))</f>
        <v>-0.1000454862</v>
      </c>
      <c r="H112" s="14">
        <f>if(TTM!H112="","",iferror(max(min(TTM!H112,1),-0.3),""))</f>
        <v>0.1121485756</v>
      </c>
      <c r="I112" s="14">
        <f>if(TTM!I112="","",iferror(max(min(TTM!I112,1),-0.3),""))</f>
        <v>0.2087463437</v>
      </c>
      <c r="J112" s="14">
        <f>if(TTM!J112="","",iferror(max(min(TTM!J112,1),-0.3),""))</f>
        <v>0.3002993223</v>
      </c>
      <c r="K112" s="14">
        <f>if(TTM!K112="","",iferror(max(min(TTM!K112,1),-0.3),""))</f>
        <v>0.2477388602</v>
      </c>
      <c r="L112" s="14">
        <f>if(TTM!L112="","",iferror(max(min(TTM!L112,1),-0.3),""))</f>
        <v>0.3783661534</v>
      </c>
      <c r="M112" s="14">
        <f>if(TTM!M112="","",iferror(max(min(TTM!M112,1),-0.3),""))</f>
        <v>0.6924294397</v>
      </c>
      <c r="N112" s="14">
        <f>if(TTM!N112="","",iferror(max(min(TTM!N112,1),-0.3),""))</f>
        <v>0.4647303024</v>
      </c>
      <c r="O112" s="14" t="str">
        <f>if(TTM!O112="","",iferror(max(min(TTM!O112,1),-0.3),""))</f>
        <v/>
      </c>
      <c r="P112" s="14">
        <f>if(TTM!P112="","",iferror(max(min(TTM!P112,1),-0.3),""))</f>
        <v>0.08346256092</v>
      </c>
      <c r="Q112" s="14" t="str">
        <f>if(TTM!Q112="","",iferror(max(min(TTM!Q112,1),-0.3),""))</f>
        <v/>
      </c>
      <c r="R112" s="14"/>
      <c r="S112" s="14">
        <f>if(TTM!S112="","",iferror(max(min(TTM!S112,1),-0.3),""))</f>
        <v>-0.06924720511</v>
      </c>
      <c r="T112" s="14">
        <f>if(TTM!T112="","",iferror(max(min(TTM!T112,1),-0.3),""))</f>
        <v>0.09028030722</v>
      </c>
      <c r="U112" s="14">
        <f>if(TTM!U112="","",iferror(max(min(TTM!U112,1),-0.3),""))</f>
        <v>0.04073902039</v>
      </c>
      <c r="V112" s="14" t="str">
        <f>if(TTM!V112="","",iferror(max(min(TTM!V112,1),-0.3),""))</f>
        <v/>
      </c>
      <c r="W112" s="14" t="str">
        <f>if(TTM!W112="","",iferror(max(min(TTM!W112,1),-0.3),""))</f>
        <v/>
      </c>
      <c r="X112" s="14">
        <f>if(TTM!X112="","",iferror(max(min(TTM!X112,1),-0.3),""))</f>
        <v>0.2103252121</v>
      </c>
      <c r="Y112" s="14" t="str">
        <f>if(TTM!Y112="","",iferror(max(min(TTM!Y112,1),-0.3),""))</f>
        <v/>
      </c>
      <c r="Z112" s="14" t="str">
        <f>if(TTM!Z112="","",iferror(max(min(TTM!Z112,1),-0.3),""))</f>
        <v/>
      </c>
      <c r="AA112" s="14" t="str">
        <f>if(TTM!AA112="","",iferror(max(min(TTM!AA112,1),-0.3),""))</f>
        <v/>
      </c>
      <c r="AB112" s="14" t="str">
        <f>if(TTM!AB112="","",iferror(max(min(TTM!AB112,1),-0.3),""))</f>
        <v/>
      </c>
      <c r="AC112" s="14" t="str">
        <f>if(TTM!AC112="","",iferror(max(min(TTM!AC112,1),-0.3),""))</f>
        <v/>
      </c>
      <c r="AD112" s="12"/>
    </row>
    <row r="113">
      <c r="A113" s="15" t="s">
        <v>140</v>
      </c>
      <c r="B113" s="14">
        <f>if(TTM!B113="","",iferror(max(min(TTM!B113,1),-0.3),""))</f>
        <v>0.1373138364</v>
      </c>
      <c r="C113" s="14">
        <f>if(TTM!C113="","",iferror(max(min(TTM!C113,1),-0.3),""))</f>
        <v>0.1279426223</v>
      </c>
      <c r="D113" s="14">
        <f>if(TTM!D113="","",iferror(max(min(TTM!D113,1),-0.3),""))</f>
        <v>0.06992595063</v>
      </c>
      <c r="E113" s="14">
        <f>if(TTM!E113="","",iferror(max(min(TTM!E113,1),-0.3),""))</f>
        <v>0.389800115</v>
      </c>
      <c r="F113" s="14">
        <f>if(TTM!F113="","",iferror(max(min(TTM!F113,1),-0.3),""))</f>
        <v>0.04264541102</v>
      </c>
      <c r="G113" s="14">
        <f>if(TTM!G113="","",iferror(max(min(TTM!G113,1),-0.3),""))</f>
        <v>-0.08352979274</v>
      </c>
      <c r="H113" s="14">
        <f>if(TTM!H113="","",iferror(max(min(TTM!H113,1),-0.3),""))</f>
        <v>0.06393289671</v>
      </c>
      <c r="I113" s="14">
        <f>if(TTM!I113="","",iferror(max(min(TTM!I113,1),-0.3),""))</f>
        <v>0.1751129222</v>
      </c>
      <c r="J113" s="14">
        <f>if(TTM!J113="","",iferror(max(min(TTM!J113,1),-0.3),""))</f>
        <v>0.2916882308</v>
      </c>
      <c r="K113" s="14">
        <f>if(TTM!K113="","",iferror(max(min(TTM!K113,1),-0.3),""))</f>
        <v>0.2448354506</v>
      </c>
      <c r="L113" s="14">
        <f>if(TTM!L113="","",iferror(max(min(TTM!L113,1),-0.3),""))</f>
        <v>0.3399526438</v>
      </c>
      <c r="M113" s="14">
        <f>if(TTM!M113="","",iferror(max(min(TTM!M113,1),-0.3),""))</f>
        <v>0.5486035465</v>
      </c>
      <c r="N113" s="14">
        <f>if(TTM!N113="","",iferror(max(min(TTM!N113,1),-0.3),""))</f>
        <v>0.5694854407</v>
      </c>
      <c r="O113" s="14" t="str">
        <f>if(TTM!O113="","",iferror(max(min(TTM!O113,1),-0.3),""))</f>
        <v/>
      </c>
      <c r="P113" s="14">
        <f>if(TTM!P113="","",iferror(max(min(TTM!P113,1),-0.3),""))</f>
        <v>0.1012880562</v>
      </c>
      <c r="Q113" s="14" t="str">
        <f>if(TTM!Q113="","",iferror(max(min(TTM!Q113,1),-0.3),""))</f>
        <v/>
      </c>
      <c r="R113" s="14"/>
      <c r="S113" s="14">
        <f>if(TTM!S113="","",iferror(max(min(TTM!S113,1),-0.3),""))</f>
        <v>-0.07652116129</v>
      </c>
      <c r="T113" s="14">
        <f>if(TTM!T113="","",iferror(max(min(TTM!T113,1),-0.3),""))</f>
        <v>0.02560316685</v>
      </c>
      <c r="U113" s="14">
        <f>if(TTM!U113="","",iferror(max(min(TTM!U113,1),-0.3),""))</f>
        <v>0.3801704796</v>
      </c>
      <c r="V113" s="14" t="str">
        <f>if(TTM!V113="","",iferror(max(min(TTM!V113,1),-0.3),""))</f>
        <v/>
      </c>
      <c r="W113" s="14" t="str">
        <f>if(TTM!W113="","",iferror(max(min(TTM!W113,1),-0.3),""))</f>
        <v/>
      </c>
      <c r="X113" s="14" t="str">
        <f>if(TTM!X113="","",iferror(max(min(TTM!X113,1),-0.3),""))</f>
        <v/>
      </c>
      <c r="Y113" s="14" t="str">
        <f>if(TTM!Y113="","",iferror(max(min(TTM!Y113,1),-0.3),""))</f>
        <v/>
      </c>
      <c r="Z113" s="14" t="str">
        <f>if(TTM!Z113="","",iferror(max(min(TTM!Z113,1),-0.3),""))</f>
        <v/>
      </c>
      <c r="AA113" s="14" t="str">
        <f>if(TTM!AA113="","",iferror(max(min(TTM!AA113,1),-0.3),""))</f>
        <v/>
      </c>
      <c r="AB113" s="14" t="str">
        <f>if(TTM!AB113="","",iferror(max(min(TTM!AB113,1),-0.3),""))</f>
        <v/>
      </c>
      <c r="AC113" s="14" t="str">
        <f>if(TTM!AC113="","",iferror(max(min(TTM!AC113,1),-0.3),""))</f>
        <v/>
      </c>
      <c r="AD113" s="12"/>
    </row>
    <row r="114">
      <c r="A114" s="15" t="s">
        <v>141</v>
      </c>
      <c r="B114" s="14">
        <f>if(TTM!B114="","",iferror(max(min(TTM!B114,1),-0.3),""))</f>
        <v>0.1253097194</v>
      </c>
      <c r="C114" s="14">
        <f>if(TTM!C114="","",iferror(max(min(TTM!C114,1),-0.3),""))</f>
        <v>0.1184619663</v>
      </c>
      <c r="D114" s="14">
        <f>if(TTM!D114="","",iferror(max(min(TTM!D114,1),-0.3),""))</f>
        <v>0.103</v>
      </c>
      <c r="E114" s="14">
        <f>if(TTM!E114="","",iferror(max(min(TTM!E114,1),-0.3),""))</f>
        <v>0.1914790439</v>
      </c>
      <c r="F114" s="14">
        <f>if(TTM!F114="","",iferror(max(min(TTM!F114,1),-0.3),""))</f>
        <v>0.03068322067</v>
      </c>
      <c r="G114" s="14">
        <f>if(TTM!G114="","",iferror(max(min(TTM!G114,1),-0.3),""))</f>
        <v>0.034</v>
      </c>
      <c r="H114" s="14">
        <f>if(TTM!H114="","",iferror(max(min(TTM!H114,1),-0.3),""))</f>
        <v>0.05724626607</v>
      </c>
      <c r="I114" s="14">
        <f>if(TTM!I114="","",iferror(max(min(TTM!I114,1),-0.3),""))</f>
        <v>-0.1747173673</v>
      </c>
      <c r="J114" s="14">
        <f>if(TTM!J114="","",iferror(max(min(TTM!J114,1),-0.3),""))</f>
        <v>0.294</v>
      </c>
      <c r="K114" s="14">
        <f>if(TTM!K114="","",iferror(max(min(TTM!K114,1),-0.3),""))</f>
        <v>0.431</v>
      </c>
      <c r="L114" s="14">
        <f>if(TTM!L114="","",iferror(max(min(TTM!L114,1),-0.3),""))</f>
        <v>-0.005666502813</v>
      </c>
      <c r="M114" s="14">
        <f>if(TTM!M114="","",iferror(max(min(TTM!M114,1),-0.3),""))</f>
        <v>-0.01156323174</v>
      </c>
      <c r="N114" s="14">
        <f>if(TTM!N114="","",iferror(max(min(TTM!N114,1),-0.3),""))</f>
        <v>0.679</v>
      </c>
      <c r="O114" s="14" t="str">
        <f>if(TTM!O114="","",iferror(max(min(TTM!O114,1),-0.3),""))</f>
        <v/>
      </c>
      <c r="P114" s="14">
        <f>if(TTM!P114="","",iferror(max(min(TTM!P114,1),-0.3),""))</f>
        <v>-0.1665690867</v>
      </c>
      <c r="Q114" s="14" t="str">
        <f>if(TTM!Q114="","",iferror(max(min(TTM!Q114,1),-0.3),""))</f>
        <v/>
      </c>
      <c r="R114" s="14"/>
      <c r="S114" s="14">
        <f>if(TTM!S114="","",iferror(max(min(TTM!S114,1),-0.3),""))</f>
        <v>-0.01571019365</v>
      </c>
      <c r="T114" s="14">
        <f>if(TTM!T114="","",iferror(max(min(TTM!T114,1),-0.3),""))</f>
        <v>-0.01533707907</v>
      </c>
      <c r="U114" s="14">
        <f>if(TTM!U114="","",iferror(max(min(TTM!U114,1),-0.3),""))</f>
        <v>0.5877505028</v>
      </c>
      <c r="V114" s="14" t="str">
        <f>if(TTM!V114="","",iferror(max(min(TTM!V114,1),-0.3),""))</f>
        <v/>
      </c>
      <c r="W114" s="14" t="str">
        <f>if(TTM!W114="","",iferror(max(min(TTM!W114,1),-0.3),""))</f>
        <v/>
      </c>
      <c r="X114" s="14" t="str">
        <f>if(TTM!X114="","",iferror(max(min(TTM!X114,1),-0.3),""))</f>
        <v/>
      </c>
      <c r="Y114" s="14" t="str">
        <f>if(TTM!Y114="","",iferror(max(min(TTM!Y114,1),-0.3),""))</f>
        <v/>
      </c>
      <c r="Z114" s="14" t="str">
        <f>if(TTM!Z114="","",iferror(max(min(TTM!Z114,1),-0.3),""))</f>
        <v/>
      </c>
      <c r="AA114" s="14" t="str">
        <f>if(TTM!AA114="","",iferror(max(min(TTM!AA114,1),-0.3),""))</f>
        <v/>
      </c>
      <c r="AB114" s="14" t="str">
        <f>if(TTM!AB114="","",iferror(max(min(TTM!AB114,1),-0.3),""))</f>
        <v/>
      </c>
      <c r="AC114" s="14" t="str">
        <f>if(TTM!AC114="","",iferror(max(min(TTM!AC114,1),-0.3),""))</f>
        <v/>
      </c>
      <c r="AD114" s="12"/>
    </row>
    <row r="115">
      <c r="A115" s="15"/>
      <c r="B115" s="1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2"/>
      <c r="W115" s="12"/>
      <c r="X115" s="12"/>
      <c r="Y115" s="12"/>
      <c r="Z115" s="12"/>
      <c r="AA115" s="12"/>
      <c r="AB115" s="12"/>
      <c r="AC115" s="12"/>
      <c r="AD115" s="12"/>
    </row>
    <row r="116">
      <c r="A116" s="13" t="s">
        <v>142</v>
      </c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2"/>
      <c r="W116" s="12"/>
      <c r="X116" s="12"/>
      <c r="Y116" s="12"/>
      <c r="Z116" s="12"/>
      <c r="AA116" s="12"/>
      <c r="AB116" s="12"/>
      <c r="AC116" s="12"/>
      <c r="AD116" s="12"/>
    </row>
    <row r="117">
      <c r="A117" s="15" t="s">
        <v>30</v>
      </c>
      <c r="B117" s="14" t="str">
        <f>if(TTM!B117="","",iferror(max(min(TTM!B117,0.5),-0.5),""))</f>
        <v/>
      </c>
      <c r="C117" s="14" t="str">
        <f>if(TTM!C117="","",iferror(max(min(TTM!C117,0.5),-0.5),""))</f>
        <v/>
      </c>
      <c r="D117" s="14" t="str">
        <f>if(TTM!D117="","",iferror(max(min(TTM!D117,0.5),-0.5),""))</f>
        <v/>
      </c>
      <c r="E117" s="14" t="str">
        <f>if(TTM!E117="","",iferror(max(min(TTM!E117,0.5),-0.5),""))</f>
        <v/>
      </c>
      <c r="F117" s="14" t="str">
        <f>if(TTM!F117="","",iferror(max(min(TTM!F117,0.5),-0.5),""))</f>
        <v/>
      </c>
      <c r="G117" s="14" t="str">
        <f>if(TTM!G117="","",iferror(max(min(TTM!G117,0.5),-0.5),""))</f>
        <v/>
      </c>
      <c r="H117" s="14" t="str">
        <f>if(TTM!H117="","",iferror(max(min(TTM!H117,0.5),-0.5),""))</f>
        <v/>
      </c>
      <c r="I117" s="14" t="str">
        <f>if(TTM!I117="","",iferror(max(min(TTM!I117,0.5),-0.5),""))</f>
        <v/>
      </c>
      <c r="J117" s="14" t="str">
        <f>if(TTM!J117="","",iferror(max(min(TTM!J117,0.5),-0.5),""))</f>
        <v/>
      </c>
      <c r="K117" s="14" t="str">
        <f>if(TTM!K117="","",iferror(max(min(TTM!K117,0.5),-0.5),""))</f>
        <v/>
      </c>
      <c r="L117" s="14" t="str">
        <f>if(TTM!L117="","",iferror(max(min(TTM!L117,0.5),-0.5),""))</f>
        <v/>
      </c>
      <c r="M117" s="14" t="str">
        <f>if(TTM!M117="","",iferror(max(min(TTM!M117,0.5),-0.5),""))</f>
        <v/>
      </c>
      <c r="N117" s="14" t="str">
        <f>if(TTM!N117="","",iferror(max(min(TTM!N117,0.5),-0.5),""))</f>
        <v/>
      </c>
      <c r="O117" s="14" t="str">
        <f>if(TTM!O117="","",iferror(max(min(TTM!O117,0.5),-0.5),""))</f>
        <v/>
      </c>
      <c r="P117" s="14" t="str">
        <f>if(TTM!P117="","",iferror(max(min(TTM!P117,0.5),-0.5),""))</f>
        <v/>
      </c>
      <c r="Q117" s="14" t="str">
        <f>if(TTM!Q117="","",iferror(max(min(TTM!Q117,0.5),-0.5),""))</f>
        <v/>
      </c>
      <c r="R117" s="14"/>
      <c r="S117" s="14" t="str">
        <f>if(TTM!S117="","",iferror(max(min(TTM!S117,0.5),-0.5),""))</f>
        <v/>
      </c>
      <c r="T117" s="14" t="str">
        <f>if(TTM!T117="","",iferror(max(min(TTM!T117,0.5),-0.5),""))</f>
        <v/>
      </c>
      <c r="U117" s="14" t="str">
        <f>if(TTM!U117="","",iferror(max(min(TTM!U117,0.5),-0.5),""))</f>
        <v/>
      </c>
      <c r="V117" s="14" t="str">
        <f>if(TTM!V117="","",iferror(max(min(TTM!V117,0.5),-0.5),""))</f>
        <v/>
      </c>
      <c r="W117" s="14" t="str">
        <f>if(TTM!W117="","",iferror(max(min(TTM!W117,0.5),-0.5),""))</f>
        <v/>
      </c>
      <c r="X117" s="14" t="str">
        <f>if(TTM!X117="","",iferror(max(min(TTM!X117,0.5),-0.5),""))</f>
        <v/>
      </c>
      <c r="Y117" s="14" t="str">
        <f>if(TTM!Y117="","",iferror(max(min(TTM!Y117,0.5),-0.5),""))</f>
        <v/>
      </c>
      <c r="Z117" s="14" t="str">
        <f>if(TTM!Z117="","",iferror(max(min(TTM!Z117,0.5),-0.5),""))</f>
        <v/>
      </c>
      <c r="AA117" s="14" t="str">
        <f>if(TTM!AA117="","",iferror(max(min(TTM!AA117,0.5),-0.5),""))</f>
        <v/>
      </c>
      <c r="AB117" s="14" t="str">
        <f>if(TTM!AB117="","",iferror(max(min(TTM!AB117,0.5),-0.5),""))</f>
        <v/>
      </c>
      <c r="AC117" s="14" t="str">
        <f>if(TTM!AC117="","",iferror(max(min(TTM!AC117,0.5),-0.5),""))</f>
        <v/>
      </c>
      <c r="AD117" s="12"/>
    </row>
    <row r="118">
      <c r="A118" s="15" t="s">
        <v>31</v>
      </c>
      <c r="B118" s="14" t="str">
        <f>if(TTM!B118="","",iferror(max(min(TTM!B118,0.5),-0.5),""))</f>
        <v/>
      </c>
      <c r="C118" s="14" t="str">
        <f>if(TTM!C118="","",iferror(max(min(TTM!C118,0.5),-0.5),""))</f>
        <v/>
      </c>
      <c r="D118" s="14" t="str">
        <f>if(TTM!D118="","",iferror(max(min(TTM!D118,0.5),-0.5),""))</f>
        <v/>
      </c>
      <c r="E118" s="14" t="str">
        <f>if(TTM!E118="","",iferror(max(min(TTM!E118,0.5),-0.5),""))</f>
        <v/>
      </c>
      <c r="F118" s="14" t="str">
        <f>if(TTM!F118="","",iferror(max(min(TTM!F118,0.5),-0.5),""))</f>
        <v/>
      </c>
      <c r="G118" s="14" t="str">
        <f>if(TTM!G118="","",iferror(max(min(TTM!G118,0.5),-0.5),""))</f>
        <v/>
      </c>
      <c r="H118" s="14" t="str">
        <f>if(TTM!H118="","",iferror(max(min(TTM!H118,0.5),-0.5),""))</f>
        <v/>
      </c>
      <c r="I118" s="14" t="str">
        <f>if(TTM!I118="","",iferror(max(min(TTM!I118,0.5),-0.5),""))</f>
        <v/>
      </c>
      <c r="J118" s="14" t="str">
        <f>if(TTM!J118="","",iferror(max(min(TTM!J118,0.5),-0.5),""))</f>
        <v/>
      </c>
      <c r="K118" s="14" t="str">
        <f>if(TTM!K118="","",iferror(max(min(TTM!K118,0.5),-0.5),""))</f>
        <v/>
      </c>
      <c r="L118" s="14" t="str">
        <f>if(TTM!L118="","",iferror(max(min(TTM!L118,0.5),-0.5),""))</f>
        <v/>
      </c>
      <c r="M118" s="14" t="str">
        <f>if(TTM!M118="","",iferror(max(min(TTM!M118,0.5),-0.5),""))</f>
        <v/>
      </c>
      <c r="N118" s="14" t="str">
        <f>if(TTM!N118="","",iferror(max(min(TTM!N118,0.5),-0.5),""))</f>
        <v/>
      </c>
      <c r="O118" s="14" t="str">
        <f>if(TTM!O118="","",iferror(max(min(TTM!O118,0.5),-0.5),""))</f>
        <v/>
      </c>
      <c r="P118" s="14" t="str">
        <f>if(TTM!P118="","",iferror(max(min(TTM!P118,0.5),-0.5),""))</f>
        <v/>
      </c>
      <c r="Q118" s="14" t="str">
        <f>if(TTM!Q118="","",iferror(max(min(TTM!Q118,0.5),-0.5),""))</f>
        <v/>
      </c>
      <c r="R118" s="14"/>
      <c r="S118" s="14" t="str">
        <f>if(TTM!S118="","",iferror(max(min(TTM!S118,0.5),-0.5),""))</f>
        <v/>
      </c>
      <c r="T118" s="14" t="str">
        <f>if(TTM!T118="","",iferror(max(min(TTM!T118,0.5),-0.5),""))</f>
        <v/>
      </c>
      <c r="U118" s="14" t="str">
        <f>if(TTM!U118="","",iferror(max(min(TTM!U118,0.5),-0.5),""))</f>
        <v/>
      </c>
      <c r="V118" s="14" t="str">
        <f>if(TTM!V118="","",iferror(max(min(TTM!V118,0.5),-0.5),""))</f>
        <v/>
      </c>
      <c r="W118" s="14" t="str">
        <f>if(TTM!W118="","",iferror(max(min(TTM!W118,0.5),-0.5),""))</f>
        <v/>
      </c>
      <c r="X118" s="14" t="str">
        <f>if(TTM!X118="","",iferror(max(min(TTM!X118,0.5),-0.5),""))</f>
        <v/>
      </c>
      <c r="Y118" s="14" t="str">
        <f>if(TTM!Y118="","",iferror(max(min(TTM!Y118,0.5),-0.5),""))</f>
        <v/>
      </c>
      <c r="Z118" s="14" t="str">
        <f>if(TTM!Z118="","",iferror(max(min(TTM!Z118,0.5),-0.5),""))</f>
        <v/>
      </c>
      <c r="AA118" s="14" t="str">
        <f>if(TTM!AA118="","",iferror(max(min(TTM!AA118,0.5),-0.5),""))</f>
        <v/>
      </c>
      <c r="AB118" s="14" t="str">
        <f>if(TTM!AB118="","",iferror(max(min(TTM!AB118,0.5),-0.5),""))</f>
        <v/>
      </c>
      <c r="AC118" s="14" t="str">
        <f>if(TTM!AC118="","",iferror(max(min(TTM!AC118,0.5),-0.5),""))</f>
        <v/>
      </c>
      <c r="AD118" s="12"/>
    </row>
    <row r="119">
      <c r="A119" s="15" t="s">
        <v>32</v>
      </c>
      <c r="B119" s="14" t="str">
        <f>if(TTM!B119="","",iferror(max(min(TTM!B119,0.5),-0.5),""))</f>
        <v/>
      </c>
      <c r="C119" s="14" t="str">
        <f>if(TTM!C119="","",iferror(max(min(TTM!C119,0.5),-0.5),""))</f>
        <v/>
      </c>
      <c r="D119" s="14" t="str">
        <f>if(TTM!D119="","",iferror(max(min(TTM!D119,0.5),-0.5),""))</f>
        <v/>
      </c>
      <c r="E119" s="14" t="str">
        <f>if(TTM!E119="","",iferror(max(min(TTM!E119,0.5),-0.5),""))</f>
        <v/>
      </c>
      <c r="F119" s="14" t="str">
        <f>if(TTM!F119="","",iferror(max(min(TTM!F119,0.5),-0.5),""))</f>
        <v/>
      </c>
      <c r="G119" s="14" t="str">
        <f>if(TTM!G119="","",iferror(max(min(TTM!G119,0.5),-0.5),""))</f>
        <v/>
      </c>
      <c r="H119" s="14" t="str">
        <f>if(TTM!H119="","",iferror(max(min(TTM!H119,0.5),-0.5),""))</f>
        <v/>
      </c>
      <c r="I119" s="14" t="str">
        <f>if(TTM!I119="","",iferror(max(min(TTM!I119,0.5),-0.5),""))</f>
        <v/>
      </c>
      <c r="J119" s="14" t="str">
        <f>if(TTM!J119="","",iferror(max(min(TTM!J119,0.5),-0.5),""))</f>
        <v/>
      </c>
      <c r="K119" s="14" t="str">
        <f>if(TTM!K119="","",iferror(max(min(TTM!K119,0.5),-0.5),""))</f>
        <v/>
      </c>
      <c r="L119" s="14" t="str">
        <f>if(TTM!L119="","",iferror(max(min(TTM!L119,0.5),-0.5),""))</f>
        <v/>
      </c>
      <c r="M119" s="14" t="str">
        <f>if(TTM!M119="","",iferror(max(min(TTM!M119,0.5),-0.5),""))</f>
        <v/>
      </c>
      <c r="N119" s="14" t="str">
        <f>if(TTM!N119="","",iferror(max(min(TTM!N119,0.5),-0.5),""))</f>
        <v/>
      </c>
      <c r="O119" s="14" t="str">
        <f>if(TTM!O119="","",iferror(max(min(TTM!O119,0.5),-0.5),""))</f>
        <v/>
      </c>
      <c r="P119" s="14" t="str">
        <f>if(TTM!P119="","",iferror(max(min(TTM!P119,0.5),-0.5),""))</f>
        <v/>
      </c>
      <c r="Q119" s="14" t="str">
        <f>if(TTM!Q119="","",iferror(max(min(TTM!Q119,0.5),-0.5),""))</f>
        <v/>
      </c>
      <c r="R119" s="14"/>
      <c r="S119" s="14" t="str">
        <f>if(TTM!S119="","",iferror(max(min(TTM!S119,0.5),-0.5),""))</f>
        <v/>
      </c>
      <c r="T119" s="14" t="str">
        <f>if(TTM!T119="","",iferror(max(min(TTM!T119,0.5),-0.5),""))</f>
        <v/>
      </c>
      <c r="U119" s="14" t="str">
        <f>if(TTM!U119="","",iferror(max(min(TTM!U119,0.5),-0.5),""))</f>
        <v/>
      </c>
      <c r="V119" s="14" t="str">
        <f>if(TTM!V119="","",iferror(max(min(TTM!V119,0.5),-0.5),""))</f>
        <v/>
      </c>
      <c r="W119" s="14" t="str">
        <f>if(TTM!W119="","",iferror(max(min(TTM!W119,0.5),-0.5),""))</f>
        <v/>
      </c>
      <c r="X119" s="14" t="str">
        <f>if(TTM!X119="","",iferror(max(min(TTM!X119,0.5),-0.5),""))</f>
        <v/>
      </c>
      <c r="Y119" s="14" t="str">
        <f>if(TTM!Y119="","",iferror(max(min(TTM!Y119,0.5),-0.5),""))</f>
        <v/>
      </c>
      <c r="Z119" s="14" t="str">
        <f>if(TTM!Z119="","",iferror(max(min(TTM!Z119,0.5),-0.5),""))</f>
        <v/>
      </c>
      <c r="AA119" s="14" t="str">
        <f>if(TTM!AA119="","",iferror(max(min(TTM!AA119,0.5),-0.5),""))</f>
        <v/>
      </c>
      <c r="AB119" s="14" t="str">
        <f>if(TTM!AB119="","",iferror(max(min(TTM!AB119,0.5),-0.5),""))</f>
        <v/>
      </c>
      <c r="AC119" s="14" t="str">
        <f>if(TTM!AC119="","",iferror(max(min(TTM!AC119,0.5),-0.5),""))</f>
        <v/>
      </c>
      <c r="AD119" s="12"/>
    </row>
    <row r="120">
      <c r="A120" s="15" t="s">
        <v>33</v>
      </c>
      <c r="B120" s="14" t="str">
        <f>if(TTM!B120="","",iferror(max(min(TTM!B120,0.5),-0.5),""))</f>
        <v/>
      </c>
      <c r="C120" s="14" t="str">
        <f>if(TTM!C120="","",iferror(max(min(TTM!C120,0.5),-0.5),""))</f>
        <v/>
      </c>
      <c r="D120" s="14" t="str">
        <f>if(TTM!D120="","",iferror(max(min(TTM!D120,0.5),-0.5),""))</f>
        <v/>
      </c>
      <c r="E120" s="14" t="str">
        <f>if(TTM!E120="","",iferror(max(min(TTM!E120,0.5),-0.5),""))</f>
        <v/>
      </c>
      <c r="F120" s="14" t="str">
        <f>if(TTM!F120="","",iferror(max(min(TTM!F120,0.5),-0.5),""))</f>
        <v/>
      </c>
      <c r="G120" s="14" t="str">
        <f>if(TTM!G120="","",iferror(max(min(TTM!G120,0.5),-0.5),""))</f>
        <v/>
      </c>
      <c r="H120" s="14" t="str">
        <f>if(TTM!H120="","",iferror(max(min(TTM!H120,0.5),-0.5),""))</f>
        <v/>
      </c>
      <c r="I120" s="14" t="str">
        <f>if(TTM!I120="","",iferror(max(min(TTM!I120,0.5),-0.5),""))</f>
        <v/>
      </c>
      <c r="J120" s="14" t="str">
        <f>if(TTM!J120="","",iferror(max(min(TTM!J120,0.5),-0.5),""))</f>
        <v/>
      </c>
      <c r="K120" s="14" t="str">
        <f>if(TTM!K120="","",iferror(max(min(TTM!K120,0.5),-0.5),""))</f>
        <v/>
      </c>
      <c r="L120" s="14" t="str">
        <f>if(TTM!L120="","",iferror(max(min(TTM!L120,0.5),-0.5),""))</f>
        <v/>
      </c>
      <c r="M120" s="14" t="str">
        <f>if(TTM!M120="","",iferror(max(min(TTM!M120,0.5),-0.5),""))</f>
        <v/>
      </c>
      <c r="N120" s="14" t="str">
        <f>if(TTM!N120="","",iferror(max(min(TTM!N120,0.5),-0.5),""))</f>
        <v/>
      </c>
      <c r="O120" s="14" t="str">
        <f>if(TTM!O120="","",iferror(max(min(TTM!O120,0.5),-0.5),""))</f>
        <v/>
      </c>
      <c r="P120" s="14" t="str">
        <f>if(TTM!P120="","",iferror(max(min(TTM!P120,0.5),-0.5),""))</f>
        <v/>
      </c>
      <c r="Q120" s="14" t="str">
        <f>if(TTM!Q120="","",iferror(max(min(TTM!Q120,0.5),-0.5),""))</f>
        <v/>
      </c>
      <c r="R120" s="14"/>
      <c r="S120" s="14" t="str">
        <f>if(TTM!S120="","",iferror(max(min(TTM!S120,0.5),-0.5),""))</f>
        <v/>
      </c>
      <c r="T120" s="14" t="str">
        <f>if(TTM!T120="","",iferror(max(min(TTM!T120,0.5),-0.5),""))</f>
        <v/>
      </c>
      <c r="U120" s="14" t="str">
        <f>if(TTM!U120="","",iferror(max(min(TTM!U120,0.5),-0.5),""))</f>
        <v/>
      </c>
      <c r="V120" s="14" t="str">
        <f>if(TTM!V120="","",iferror(max(min(TTM!V120,0.5),-0.5),""))</f>
        <v/>
      </c>
      <c r="W120" s="14">
        <f>if(TTM!W120="","",iferror(max(min(TTM!W120,0.5),-0.5),""))</f>
        <v>-0.5</v>
      </c>
      <c r="X120" s="14">
        <f>if(TTM!X120="","",iferror(max(min(TTM!X120,0.5),-0.5),""))</f>
        <v>0.02040642307</v>
      </c>
      <c r="Y120" s="14" t="str">
        <f>if(TTM!Y120="","",iferror(max(min(TTM!Y120,0.5),-0.5),""))</f>
        <v/>
      </c>
      <c r="Z120" s="14" t="str">
        <f>if(TTM!Z120="","",iferror(max(min(TTM!Z120,0.5),-0.5),""))</f>
        <v/>
      </c>
      <c r="AA120" s="14" t="str">
        <f>if(TTM!AA120="","",iferror(max(min(TTM!AA120,0.5),-0.5),""))</f>
        <v/>
      </c>
      <c r="AB120" s="14" t="str">
        <f>if(TTM!AB120="","",iferror(max(min(TTM!AB120,0.5),-0.5),""))</f>
        <v/>
      </c>
      <c r="AC120" s="14" t="str">
        <f>if(TTM!AC120="","",iferror(max(min(TTM!AC120,0.5),-0.5),""))</f>
        <v/>
      </c>
      <c r="AD120" s="12"/>
    </row>
    <row r="121">
      <c r="A121" s="15" t="s">
        <v>34</v>
      </c>
      <c r="B121" s="14" t="str">
        <f>if(TTM!B121="","",iferror(max(min(TTM!B121,0.5),-0.5),""))</f>
        <v/>
      </c>
      <c r="C121" s="14" t="str">
        <f>if(TTM!C121="","",iferror(max(min(TTM!C121,0.5),-0.5),""))</f>
        <v/>
      </c>
      <c r="D121" s="14">
        <f>if(TTM!D121="","",iferror(max(min(TTM!D121,0.5),-0.5),""))</f>
        <v>-0.5</v>
      </c>
      <c r="E121" s="14" t="str">
        <f>if(TTM!E121="","",iferror(max(min(TTM!E121,0.5),-0.5),""))</f>
        <v/>
      </c>
      <c r="F121" s="14" t="str">
        <f>if(TTM!F121="","",iferror(max(min(TTM!F121,0.5),-0.5),""))</f>
        <v/>
      </c>
      <c r="G121" s="14" t="str">
        <f>if(TTM!G121="","",iferror(max(min(TTM!G121,0.5),-0.5),""))</f>
        <v/>
      </c>
      <c r="H121" s="14" t="str">
        <f>if(TTM!H121="","",iferror(max(min(TTM!H121,0.5),-0.5),""))</f>
        <v/>
      </c>
      <c r="I121" s="14" t="str">
        <f>if(TTM!I121="","",iferror(max(min(TTM!I121,0.5),-0.5),""))</f>
        <v/>
      </c>
      <c r="J121" s="14" t="str">
        <f>if(TTM!J121="","",iferror(max(min(TTM!J121,0.5),-0.5),""))</f>
        <v/>
      </c>
      <c r="K121" s="14" t="str">
        <f>if(TTM!K121="","",iferror(max(min(TTM!K121,0.5),-0.5),""))</f>
        <v/>
      </c>
      <c r="L121" s="14" t="str">
        <f>if(TTM!L121="","",iferror(max(min(TTM!L121,0.5),-0.5),""))</f>
        <v/>
      </c>
      <c r="M121" s="14" t="str">
        <f>if(TTM!M121="","",iferror(max(min(TTM!M121,0.5),-0.5),""))</f>
        <v/>
      </c>
      <c r="N121" s="14" t="str">
        <f>if(TTM!N121="","",iferror(max(min(TTM!N121,0.5),-0.5),""))</f>
        <v/>
      </c>
      <c r="O121" s="14" t="str">
        <f>if(TTM!O121="","",iferror(max(min(TTM!O121,0.5),-0.5),""))</f>
        <v/>
      </c>
      <c r="P121" s="14" t="str">
        <f>if(TTM!P121="","",iferror(max(min(TTM!P121,0.5),-0.5),""))</f>
        <v/>
      </c>
      <c r="Q121" s="14" t="str">
        <f>if(TTM!Q121="","",iferror(max(min(TTM!Q121,0.5),-0.5),""))</f>
        <v/>
      </c>
      <c r="R121" s="14"/>
      <c r="S121" s="14" t="str">
        <f>if(TTM!S121="","",iferror(max(min(TTM!S121,0.5),-0.5),""))</f>
        <v/>
      </c>
      <c r="T121" s="14" t="str">
        <f>if(TTM!T121="","",iferror(max(min(TTM!T121,0.5),-0.5),""))</f>
        <v/>
      </c>
      <c r="U121" s="14" t="str">
        <f>if(TTM!U121="","",iferror(max(min(TTM!U121,0.5),-0.5),""))</f>
        <v/>
      </c>
      <c r="V121" s="14" t="str">
        <f>if(TTM!V121="","",iferror(max(min(TTM!V121,0.5),-0.5),""))</f>
        <v/>
      </c>
      <c r="W121" s="14">
        <f>if(TTM!W121="","",iferror(max(min(TTM!W121,0.5),-0.5),""))</f>
        <v>-0.5</v>
      </c>
      <c r="X121" s="14">
        <f>if(TTM!X121="","",iferror(max(min(TTM!X121,0.5),-0.5),""))</f>
        <v>0.0212091067</v>
      </c>
      <c r="Y121" s="14" t="str">
        <f>if(TTM!Y121="","",iferror(max(min(TTM!Y121,0.5),-0.5),""))</f>
        <v/>
      </c>
      <c r="Z121" s="14" t="str">
        <f>if(TTM!Z121="","",iferror(max(min(TTM!Z121,0.5),-0.5),""))</f>
        <v/>
      </c>
      <c r="AA121" s="14" t="str">
        <f>if(TTM!AA121="","",iferror(max(min(TTM!AA121,0.5),-0.5),""))</f>
        <v/>
      </c>
      <c r="AB121" s="14" t="str">
        <f>if(TTM!AB121="","",iferror(max(min(TTM!AB121,0.5),-0.5),""))</f>
        <v/>
      </c>
      <c r="AC121" s="14" t="str">
        <f>if(TTM!AC121="","",iferror(max(min(TTM!AC121,0.5),-0.5),""))</f>
        <v/>
      </c>
      <c r="AD121" s="12"/>
    </row>
    <row r="122">
      <c r="A122" s="15" t="s">
        <v>35</v>
      </c>
      <c r="B122" s="14" t="str">
        <f>if(TTM!B122="","",iferror(max(min(TTM!B122,0.5),-0.5),""))</f>
        <v/>
      </c>
      <c r="C122" s="14" t="str">
        <f>if(TTM!C122="","",iferror(max(min(TTM!C122,0.5),-0.5),""))</f>
        <v/>
      </c>
      <c r="D122" s="14">
        <f>if(TTM!D122="","",iferror(max(min(TTM!D122,0.5),-0.5),""))</f>
        <v>-0.5</v>
      </c>
      <c r="E122" s="14" t="str">
        <f>if(TTM!E122="","",iferror(max(min(TTM!E122,0.5),-0.5),""))</f>
        <v/>
      </c>
      <c r="F122" s="14" t="str">
        <f>if(TTM!F122="","",iferror(max(min(TTM!F122,0.5),-0.5),""))</f>
        <v/>
      </c>
      <c r="G122" s="14" t="str">
        <f>if(TTM!G122="","",iferror(max(min(TTM!G122,0.5),-0.5),""))</f>
        <v/>
      </c>
      <c r="H122" s="14" t="str">
        <f>if(TTM!H122="","",iferror(max(min(TTM!H122,0.5),-0.5),""))</f>
        <v/>
      </c>
      <c r="I122" s="14" t="str">
        <f>if(TTM!I122="","",iferror(max(min(TTM!I122,0.5),-0.5),""))</f>
        <v/>
      </c>
      <c r="J122" s="14" t="str">
        <f>if(TTM!J122="","",iferror(max(min(TTM!J122,0.5),-0.5),""))</f>
        <v/>
      </c>
      <c r="K122" s="14" t="str">
        <f>if(TTM!K122="","",iferror(max(min(TTM!K122,0.5),-0.5),""))</f>
        <v/>
      </c>
      <c r="L122" s="14" t="str">
        <f>if(TTM!L122="","",iferror(max(min(TTM!L122,0.5),-0.5),""))</f>
        <v/>
      </c>
      <c r="M122" s="14" t="str">
        <f>if(TTM!M122="","",iferror(max(min(TTM!M122,0.5),-0.5),""))</f>
        <v/>
      </c>
      <c r="N122" s="14" t="str">
        <f>if(TTM!N122="","",iferror(max(min(TTM!N122,0.5),-0.5),""))</f>
        <v/>
      </c>
      <c r="O122" s="14" t="str">
        <f>if(TTM!O122="","",iferror(max(min(TTM!O122,0.5),-0.5),""))</f>
        <v/>
      </c>
      <c r="P122" s="14" t="str">
        <f>if(TTM!P122="","",iferror(max(min(TTM!P122,0.5),-0.5),""))</f>
        <v/>
      </c>
      <c r="Q122" s="14" t="str">
        <f>if(TTM!Q122="","",iferror(max(min(TTM!Q122,0.5),-0.5),""))</f>
        <v/>
      </c>
      <c r="R122" s="14"/>
      <c r="S122" s="14" t="str">
        <f>if(TTM!S122="","",iferror(max(min(TTM!S122,0.5),-0.5),""))</f>
        <v/>
      </c>
      <c r="T122" s="14" t="str">
        <f>if(TTM!T122="","",iferror(max(min(TTM!T122,0.5),-0.5),""))</f>
        <v/>
      </c>
      <c r="U122" s="14" t="str">
        <f>if(TTM!U122="","",iferror(max(min(TTM!U122,0.5),-0.5),""))</f>
        <v/>
      </c>
      <c r="V122" s="14" t="str">
        <f>if(TTM!V122="","",iferror(max(min(TTM!V122,0.5),-0.5),""))</f>
        <v/>
      </c>
      <c r="W122" s="14">
        <f>if(TTM!W122="","",iferror(max(min(TTM!W122,0.5),-0.5),""))</f>
        <v>-0.5</v>
      </c>
      <c r="X122" s="14">
        <f>if(TTM!X122="","",iferror(max(min(TTM!X122,0.5),-0.5),""))</f>
        <v>0.02201179033</v>
      </c>
      <c r="Y122" s="14" t="str">
        <f>if(TTM!Y122="","",iferror(max(min(TTM!Y122,0.5),-0.5),""))</f>
        <v/>
      </c>
      <c r="Z122" s="14" t="str">
        <f>if(TTM!Z122="","",iferror(max(min(TTM!Z122,0.5),-0.5),""))</f>
        <v/>
      </c>
      <c r="AA122" s="14" t="str">
        <f>if(TTM!AA122="","",iferror(max(min(TTM!AA122,0.5),-0.5),""))</f>
        <v/>
      </c>
      <c r="AB122" s="14" t="str">
        <f>if(TTM!AB122="","",iferror(max(min(TTM!AB122,0.5),-0.5),""))</f>
        <v/>
      </c>
      <c r="AC122" s="14" t="str">
        <f>if(TTM!AC122="","",iferror(max(min(TTM!AC122,0.5),-0.5),""))</f>
        <v/>
      </c>
      <c r="AD122" s="12"/>
    </row>
    <row r="123">
      <c r="A123" s="15" t="s">
        <v>36</v>
      </c>
      <c r="B123" s="14" t="str">
        <f>if(TTM!B123="","",iferror(max(min(TTM!B123,0.5),-0.5),""))</f>
        <v/>
      </c>
      <c r="C123" s="14" t="str">
        <f>if(TTM!C123="","",iferror(max(min(TTM!C123,0.5),-0.5),""))</f>
        <v/>
      </c>
      <c r="D123" s="14">
        <f>if(TTM!D123="","",iferror(max(min(TTM!D123,0.5),-0.5),""))</f>
        <v>-0.5</v>
      </c>
      <c r="E123" s="14" t="str">
        <f>if(TTM!E123="","",iferror(max(min(TTM!E123,0.5),-0.5),""))</f>
        <v/>
      </c>
      <c r="F123" s="14" t="str">
        <f>if(TTM!F123="","",iferror(max(min(TTM!F123,0.5),-0.5),""))</f>
        <v/>
      </c>
      <c r="G123" s="14" t="str">
        <f>if(TTM!G123="","",iferror(max(min(TTM!G123,0.5),-0.5),""))</f>
        <v/>
      </c>
      <c r="H123" s="14" t="str">
        <f>if(TTM!H123="","",iferror(max(min(TTM!H123,0.5),-0.5),""))</f>
        <v/>
      </c>
      <c r="I123" s="14" t="str">
        <f>if(TTM!I123="","",iferror(max(min(TTM!I123,0.5),-0.5),""))</f>
        <v/>
      </c>
      <c r="J123" s="14" t="str">
        <f>if(TTM!J123="","",iferror(max(min(TTM!J123,0.5),-0.5),""))</f>
        <v/>
      </c>
      <c r="K123" s="14" t="str">
        <f>if(TTM!K123="","",iferror(max(min(TTM!K123,0.5),-0.5),""))</f>
        <v/>
      </c>
      <c r="L123" s="14" t="str">
        <f>if(TTM!L123="","",iferror(max(min(TTM!L123,0.5),-0.5),""))</f>
        <v/>
      </c>
      <c r="M123" s="14" t="str">
        <f>if(TTM!M123="","",iferror(max(min(TTM!M123,0.5),-0.5),""))</f>
        <v/>
      </c>
      <c r="N123" s="14" t="str">
        <f>if(TTM!N123="","",iferror(max(min(TTM!N123,0.5),-0.5),""))</f>
        <v/>
      </c>
      <c r="O123" s="14" t="str">
        <f>if(TTM!O123="","",iferror(max(min(TTM!O123,0.5),-0.5),""))</f>
        <v/>
      </c>
      <c r="P123" s="14" t="str">
        <f>if(TTM!P123="","",iferror(max(min(TTM!P123,0.5),-0.5),""))</f>
        <v/>
      </c>
      <c r="Q123" s="14" t="str">
        <f>if(TTM!Q123="","",iferror(max(min(TTM!Q123,0.5),-0.5),""))</f>
        <v/>
      </c>
      <c r="R123" s="14"/>
      <c r="S123" s="14" t="str">
        <f>if(TTM!S123="","",iferror(max(min(TTM!S123,0.5),-0.5),""))</f>
        <v/>
      </c>
      <c r="T123" s="14" t="str">
        <f>if(TTM!T123="","",iferror(max(min(TTM!T123,0.5),-0.5),""))</f>
        <v/>
      </c>
      <c r="U123" s="14" t="str">
        <f>if(TTM!U123="","",iferror(max(min(TTM!U123,0.5),-0.5),""))</f>
        <v/>
      </c>
      <c r="V123" s="14" t="str">
        <f>if(TTM!V123="","",iferror(max(min(TTM!V123,0.5),-0.5),""))</f>
        <v/>
      </c>
      <c r="W123" s="14">
        <f>if(TTM!W123="","",iferror(max(min(TTM!W123,0.5),-0.5),""))</f>
        <v>-0.5</v>
      </c>
      <c r="X123" s="14">
        <f>if(TTM!X123="","",iferror(max(min(TTM!X123,0.5),-0.5),""))</f>
        <v>0.02081528236</v>
      </c>
      <c r="Y123" s="14" t="str">
        <f>if(TTM!Y123="","",iferror(max(min(TTM!Y123,0.5),-0.5),""))</f>
        <v/>
      </c>
      <c r="Z123" s="14" t="str">
        <f>if(TTM!Z123="","",iferror(max(min(TTM!Z123,0.5),-0.5),""))</f>
        <v/>
      </c>
      <c r="AA123" s="14" t="str">
        <f>if(TTM!AA123="","",iferror(max(min(TTM!AA123,0.5),-0.5),""))</f>
        <v/>
      </c>
      <c r="AB123" s="14" t="str">
        <f>if(TTM!AB123="","",iferror(max(min(TTM!AB123,0.5),-0.5),""))</f>
        <v/>
      </c>
      <c r="AC123" s="14" t="str">
        <f>if(TTM!AC123="","",iferror(max(min(TTM!AC123,0.5),-0.5),""))</f>
        <v/>
      </c>
      <c r="AD123" s="12"/>
    </row>
    <row r="124">
      <c r="A124" s="15" t="s">
        <v>37</v>
      </c>
      <c r="B124" s="14" t="str">
        <f>if(TTM!B124="","",iferror(max(min(TTM!B124,0.5),-0.5),""))</f>
        <v/>
      </c>
      <c r="C124" s="14">
        <f>if(TTM!C124="","",iferror(max(min(TTM!C124,0.5),-0.5),""))</f>
        <v>-0.5</v>
      </c>
      <c r="D124" s="14">
        <f>if(TTM!D124="","",iferror(max(min(TTM!D124,0.5),-0.5),""))</f>
        <v>-0.5</v>
      </c>
      <c r="E124" s="14" t="str">
        <f>if(TTM!E124="","",iferror(max(min(TTM!E124,0.5),-0.5),""))</f>
        <v/>
      </c>
      <c r="F124" s="14" t="str">
        <f>if(TTM!F124="","",iferror(max(min(TTM!F124,0.5),-0.5),""))</f>
        <v/>
      </c>
      <c r="G124" s="14" t="str">
        <f>if(TTM!G124="","",iferror(max(min(TTM!G124,0.5),-0.5),""))</f>
        <v/>
      </c>
      <c r="H124" s="14" t="str">
        <f>if(TTM!H124="","",iferror(max(min(TTM!H124,0.5),-0.5),""))</f>
        <v/>
      </c>
      <c r="I124" s="14" t="str">
        <f>if(TTM!I124="","",iferror(max(min(TTM!I124,0.5),-0.5),""))</f>
        <v/>
      </c>
      <c r="J124" s="14" t="str">
        <f>if(TTM!J124="","",iferror(max(min(TTM!J124,0.5),-0.5),""))</f>
        <v/>
      </c>
      <c r="K124" s="14" t="str">
        <f>if(TTM!K124="","",iferror(max(min(TTM!K124,0.5),-0.5),""))</f>
        <v/>
      </c>
      <c r="L124" s="14" t="str">
        <f>if(TTM!L124="","",iferror(max(min(TTM!L124,0.5),-0.5),""))</f>
        <v/>
      </c>
      <c r="M124" s="14" t="str">
        <f>if(TTM!M124="","",iferror(max(min(TTM!M124,0.5),-0.5),""))</f>
        <v/>
      </c>
      <c r="N124" s="14" t="str">
        <f>if(TTM!N124="","",iferror(max(min(TTM!N124,0.5),-0.5),""))</f>
        <v/>
      </c>
      <c r="O124" s="14" t="str">
        <f>if(TTM!O124="","",iferror(max(min(TTM!O124,0.5),-0.5),""))</f>
        <v/>
      </c>
      <c r="P124" s="14" t="str">
        <f>if(TTM!P124="","",iferror(max(min(TTM!P124,0.5),-0.5),""))</f>
        <v/>
      </c>
      <c r="Q124" s="14" t="str">
        <f>if(TTM!Q124="","",iferror(max(min(TTM!Q124,0.5),-0.5),""))</f>
        <v/>
      </c>
      <c r="R124" s="14"/>
      <c r="S124" s="14" t="str">
        <f>if(TTM!S124="","",iferror(max(min(TTM!S124,0.5),-0.5),""))</f>
        <v/>
      </c>
      <c r="T124" s="14" t="str">
        <f>if(TTM!T124="","",iferror(max(min(TTM!T124,0.5),-0.5),""))</f>
        <v/>
      </c>
      <c r="U124" s="14" t="str">
        <f>if(TTM!U124="","",iferror(max(min(TTM!U124,0.5),-0.5),""))</f>
        <v/>
      </c>
      <c r="V124" s="14" t="str">
        <f>if(TTM!V124="","",iferror(max(min(TTM!V124,0.5),-0.5),""))</f>
        <v/>
      </c>
      <c r="W124" s="14">
        <f>if(TTM!W124="","",iferror(max(min(TTM!W124,0.5),-0.5),""))</f>
        <v>-0.5</v>
      </c>
      <c r="X124" s="14">
        <f>if(TTM!X124="","",iferror(max(min(TTM!X124,0.5),-0.5),""))</f>
        <v>0.01961877438</v>
      </c>
      <c r="Y124" s="14" t="str">
        <f>if(TTM!Y124="","",iferror(max(min(TTM!Y124,0.5),-0.5),""))</f>
        <v/>
      </c>
      <c r="Z124" s="14" t="str">
        <f>if(TTM!Z124="","",iferror(max(min(TTM!Z124,0.5),-0.5),""))</f>
        <v/>
      </c>
      <c r="AA124" s="14" t="str">
        <f>if(TTM!AA124="","",iferror(max(min(TTM!AA124,0.5),-0.5),""))</f>
        <v/>
      </c>
      <c r="AB124" s="14" t="str">
        <f>if(TTM!AB124="","",iferror(max(min(TTM!AB124,0.5),-0.5),""))</f>
        <v/>
      </c>
      <c r="AC124" s="14" t="str">
        <f>if(TTM!AC124="","",iferror(max(min(TTM!AC124,0.5),-0.5),""))</f>
        <v/>
      </c>
      <c r="AD124" s="12"/>
    </row>
    <row r="125">
      <c r="A125" s="15" t="s">
        <v>38</v>
      </c>
      <c r="B125" s="14" t="str">
        <f>if(TTM!B125="","",iferror(max(min(TTM!B125,0.5),-0.5),""))</f>
        <v/>
      </c>
      <c r="C125" s="14">
        <f>if(TTM!C125="","",iferror(max(min(TTM!C125,0.5),-0.5),""))</f>
        <v>-0.5</v>
      </c>
      <c r="D125" s="14">
        <f>if(TTM!D125="","",iferror(max(min(TTM!D125,0.5),-0.5),""))</f>
        <v>-0.5</v>
      </c>
      <c r="E125" s="14" t="str">
        <f>if(TTM!E125="","",iferror(max(min(TTM!E125,0.5),-0.5),""))</f>
        <v/>
      </c>
      <c r="F125" s="14" t="str">
        <f>if(TTM!F125="","",iferror(max(min(TTM!F125,0.5),-0.5),""))</f>
        <v/>
      </c>
      <c r="G125" s="14" t="str">
        <f>if(TTM!G125="","",iferror(max(min(TTM!G125,0.5),-0.5),""))</f>
        <v/>
      </c>
      <c r="H125" s="14" t="str">
        <f>if(TTM!H125="","",iferror(max(min(TTM!H125,0.5),-0.5),""))</f>
        <v/>
      </c>
      <c r="I125" s="14" t="str">
        <f>if(TTM!I125="","",iferror(max(min(TTM!I125,0.5),-0.5),""))</f>
        <v/>
      </c>
      <c r="J125" s="14" t="str">
        <f>if(TTM!J125="","",iferror(max(min(TTM!J125,0.5),-0.5),""))</f>
        <v/>
      </c>
      <c r="K125" s="14" t="str">
        <f>if(TTM!K125="","",iferror(max(min(TTM!K125,0.5),-0.5),""))</f>
        <v/>
      </c>
      <c r="L125" s="14" t="str">
        <f>if(TTM!L125="","",iferror(max(min(TTM!L125,0.5),-0.5),""))</f>
        <v/>
      </c>
      <c r="M125" s="14" t="str">
        <f>if(TTM!M125="","",iferror(max(min(TTM!M125,0.5),-0.5),""))</f>
        <v/>
      </c>
      <c r="N125" s="14" t="str">
        <f>if(TTM!N125="","",iferror(max(min(TTM!N125,0.5),-0.5),""))</f>
        <v/>
      </c>
      <c r="O125" s="14" t="str">
        <f>if(TTM!O125="","",iferror(max(min(TTM!O125,0.5),-0.5),""))</f>
        <v/>
      </c>
      <c r="P125" s="14" t="str">
        <f>if(TTM!P125="","",iferror(max(min(TTM!P125,0.5),-0.5),""))</f>
        <v/>
      </c>
      <c r="Q125" s="14" t="str">
        <f>if(TTM!Q125="","",iferror(max(min(TTM!Q125,0.5),-0.5),""))</f>
        <v/>
      </c>
      <c r="R125" s="14"/>
      <c r="S125" s="14">
        <f>if(TTM!S125="","",iferror(max(min(TTM!S125,0.5),-0.5),""))</f>
        <v>-0.5</v>
      </c>
      <c r="T125" s="14" t="str">
        <f>if(TTM!T125="","",iferror(max(min(TTM!T125,0.5),-0.5),""))</f>
        <v/>
      </c>
      <c r="U125" s="14" t="str">
        <f>if(TTM!U125="","",iferror(max(min(TTM!U125,0.5),-0.5),""))</f>
        <v/>
      </c>
      <c r="V125" s="14" t="str">
        <f>if(TTM!V125="","",iferror(max(min(TTM!V125,0.5),-0.5),""))</f>
        <v/>
      </c>
      <c r="W125" s="14">
        <f>if(TTM!W125="","",iferror(max(min(TTM!W125,0.5),-0.5),""))</f>
        <v>-0.5</v>
      </c>
      <c r="X125" s="14">
        <f>if(TTM!X125="","",iferror(max(min(TTM!X125,0.5),-0.5),""))</f>
        <v>0.01842226641</v>
      </c>
      <c r="Y125" s="14" t="str">
        <f>if(TTM!Y125="","",iferror(max(min(TTM!Y125,0.5),-0.5),""))</f>
        <v/>
      </c>
      <c r="Z125" s="14" t="str">
        <f>if(TTM!Z125="","",iferror(max(min(TTM!Z125,0.5),-0.5),""))</f>
        <v/>
      </c>
      <c r="AA125" s="14" t="str">
        <f>if(TTM!AA125="","",iferror(max(min(TTM!AA125,0.5),-0.5),""))</f>
        <v/>
      </c>
      <c r="AB125" s="14" t="str">
        <f>if(TTM!AB125="","",iferror(max(min(TTM!AB125,0.5),-0.5),""))</f>
        <v/>
      </c>
      <c r="AC125" s="14" t="str">
        <f>if(TTM!AC125="","",iferror(max(min(TTM!AC125,0.5),-0.5),""))</f>
        <v/>
      </c>
      <c r="AD125" s="12"/>
    </row>
    <row r="126">
      <c r="A126" s="15" t="s">
        <v>39</v>
      </c>
      <c r="B126" s="14" t="str">
        <f>if(TTM!B126="","",iferror(max(min(TTM!B126,0.5),-0.5),""))</f>
        <v/>
      </c>
      <c r="C126" s="14">
        <f>if(TTM!C126="","",iferror(max(min(TTM!C126,0.5),-0.5),""))</f>
        <v>-0.5</v>
      </c>
      <c r="D126" s="14">
        <f>if(TTM!D126="","",iferror(max(min(TTM!D126,0.5),-0.5),""))</f>
        <v>-0.5</v>
      </c>
      <c r="E126" s="14" t="str">
        <f>if(TTM!E126="","",iferror(max(min(TTM!E126,0.5),-0.5),""))</f>
        <v/>
      </c>
      <c r="F126" s="14" t="str">
        <f>if(TTM!F126="","",iferror(max(min(TTM!F126,0.5),-0.5),""))</f>
        <v/>
      </c>
      <c r="G126" s="14" t="str">
        <f>if(TTM!G126="","",iferror(max(min(TTM!G126,0.5),-0.5),""))</f>
        <v/>
      </c>
      <c r="H126" s="14" t="str">
        <f>if(TTM!H126="","",iferror(max(min(TTM!H126,0.5),-0.5),""))</f>
        <v/>
      </c>
      <c r="I126" s="14" t="str">
        <f>if(TTM!I126="","",iferror(max(min(TTM!I126,0.5),-0.5),""))</f>
        <v/>
      </c>
      <c r="J126" s="14" t="str">
        <f>if(TTM!J126="","",iferror(max(min(TTM!J126,0.5),-0.5),""))</f>
        <v/>
      </c>
      <c r="K126" s="14" t="str">
        <f>if(TTM!K126="","",iferror(max(min(TTM!K126,0.5),-0.5),""))</f>
        <v/>
      </c>
      <c r="L126" s="14" t="str">
        <f>if(TTM!L126="","",iferror(max(min(TTM!L126,0.5),-0.5),""))</f>
        <v/>
      </c>
      <c r="M126" s="14" t="str">
        <f>if(TTM!M126="","",iferror(max(min(TTM!M126,0.5),-0.5),""))</f>
        <v/>
      </c>
      <c r="N126" s="14" t="str">
        <f>if(TTM!N126="","",iferror(max(min(TTM!N126,0.5),-0.5),""))</f>
        <v/>
      </c>
      <c r="O126" s="14" t="str">
        <f>if(TTM!O126="","",iferror(max(min(TTM!O126,0.5),-0.5),""))</f>
        <v/>
      </c>
      <c r="P126" s="14" t="str">
        <f>if(TTM!P126="","",iferror(max(min(TTM!P126,0.5),-0.5),""))</f>
        <v/>
      </c>
      <c r="Q126" s="14" t="str">
        <f>if(TTM!Q126="","",iferror(max(min(TTM!Q126,0.5),-0.5),""))</f>
        <v/>
      </c>
      <c r="R126" s="14"/>
      <c r="S126" s="14">
        <f>if(TTM!S126="","",iferror(max(min(TTM!S126,0.5),-0.5),""))</f>
        <v>-0.5</v>
      </c>
      <c r="T126" s="14" t="str">
        <f>if(TTM!T126="","",iferror(max(min(TTM!T126,0.5),-0.5),""))</f>
        <v/>
      </c>
      <c r="U126" s="14" t="str">
        <f>if(TTM!U126="","",iferror(max(min(TTM!U126,0.5),-0.5),""))</f>
        <v/>
      </c>
      <c r="V126" s="14" t="str">
        <f>if(TTM!V126="","",iferror(max(min(TTM!V126,0.5),-0.5),""))</f>
        <v/>
      </c>
      <c r="W126" s="14">
        <f>if(TTM!W126="","",iferror(max(min(TTM!W126,0.5),-0.5),""))</f>
        <v>-0.5</v>
      </c>
      <c r="X126" s="14">
        <f>if(TTM!X126="","",iferror(max(min(TTM!X126,0.5),-0.5),""))</f>
        <v>0.01722575843</v>
      </c>
      <c r="Y126" s="14" t="str">
        <f>if(TTM!Y126="","",iferror(max(min(TTM!Y126,0.5),-0.5),""))</f>
        <v/>
      </c>
      <c r="Z126" s="14" t="str">
        <f>if(TTM!Z126="","",iferror(max(min(TTM!Z126,0.5),-0.5),""))</f>
        <v/>
      </c>
      <c r="AA126" s="14" t="str">
        <f>if(TTM!AA126="","",iferror(max(min(TTM!AA126,0.5),-0.5),""))</f>
        <v/>
      </c>
      <c r="AB126" s="14" t="str">
        <f>if(TTM!AB126="","",iferror(max(min(TTM!AB126,0.5),-0.5),""))</f>
        <v/>
      </c>
      <c r="AC126" s="14" t="str">
        <f>if(TTM!AC126="","",iferror(max(min(TTM!AC126,0.5),-0.5),""))</f>
        <v/>
      </c>
      <c r="AD126" s="12"/>
    </row>
    <row r="127">
      <c r="A127" s="15" t="s">
        <v>40</v>
      </c>
      <c r="B127" s="14" t="str">
        <f>if(TTM!B127="","",iferror(max(min(TTM!B127,0.5),-0.5),""))</f>
        <v/>
      </c>
      <c r="C127" s="14">
        <f>if(TTM!C127="","",iferror(max(min(TTM!C127,0.5),-0.5),""))</f>
        <v>-0.4659206522</v>
      </c>
      <c r="D127" s="14">
        <f>if(TTM!D127="","",iferror(max(min(TTM!D127,0.5),-0.5),""))</f>
        <v>-0.5</v>
      </c>
      <c r="E127" s="14" t="str">
        <f>if(TTM!E127="","",iferror(max(min(TTM!E127,0.5),-0.5),""))</f>
        <v/>
      </c>
      <c r="F127" s="14" t="str">
        <f>if(TTM!F127="","",iferror(max(min(TTM!F127,0.5),-0.5),""))</f>
        <v/>
      </c>
      <c r="G127" s="14" t="str">
        <f>if(TTM!G127="","",iferror(max(min(TTM!G127,0.5),-0.5),""))</f>
        <v/>
      </c>
      <c r="H127" s="14" t="str">
        <f>if(TTM!H127="","",iferror(max(min(TTM!H127,0.5),-0.5),""))</f>
        <v/>
      </c>
      <c r="I127" s="14" t="str">
        <f>if(TTM!I127="","",iferror(max(min(TTM!I127,0.5),-0.5),""))</f>
        <v/>
      </c>
      <c r="J127" s="14" t="str">
        <f>if(TTM!J127="","",iferror(max(min(TTM!J127,0.5),-0.5),""))</f>
        <v/>
      </c>
      <c r="K127" s="14" t="str">
        <f>if(TTM!K127="","",iferror(max(min(TTM!K127,0.5),-0.5),""))</f>
        <v/>
      </c>
      <c r="L127" s="14" t="str">
        <f>if(TTM!L127="","",iferror(max(min(TTM!L127,0.5),-0.5),""))</f>
        <v/>
      </c>
      <c r="M127" s="14" t="str">
        <f>if(TTM!M127="","",iferror(max(min(TTM!M127,0.5),-0.5),""))</f>
        <v/>
      </c>
      <c r="N127" s="14" t="str">
        <f>if(TTM!N127="","",iferror(max(min(TTM!N127,0.5),-0.5),""))</f>
        <v/>
      </c>
      <c r="O127" s="14" t="str">
        <f>if(TTM!O127="","",iferror(max(min(TTM!O127,0.5),-0.5),""))</f>
        <v/>
      </c>
      <c r="P127" s="14" t="str">
        <f>if(TTM!P127="","",iferror(max(min(TTM!P127,0.5),-0.5),""))</f>
        <v/>
      </c>
      <c r="Q127" s="14" t="str">
        <f>if(TTM!Q127="","",iferror(max(min(TTM!Q127,0.5),-0.5),""))</f>
        <v/>
      </c>
      <c r="R127" s="14"/>
      <c r="S127" s="14" t="str">
        <f>if(TTM!S127="","",iferror(max(min(TTM!S127,0.5),-0.5),""))</f>
        <v/>
      </c>
      <c r="T127" s="14" t="str">
        <f>if(TTM!T127="","",iferror(max(min(TTM!T127,0.5),-0.5),""))</f>
        <v/>
      </c>
      <c r="U127" s="14" t="str">
        <f>if(TTM!U127="","",iferror(max(min(TTM!U127,0.5),-0.5),""))</f>
        <v/>
      </c>
      <c r="V127" s="14" t="str">
        <f>if(TTM!V127="","",iferror(max(min(TTM!V127,0.5),-0.5),""))</f>
        <v/>
      </c>
      <c r="W127" s="14">
        <f>if(TTM!W127="","",iferror(max(min(TTM!W127,0.5),-0.5),""))</f>
        <v>-0.4915595658</v>
      </c>
      <c r="X127" s="14">
        <f>if(TTM!X127="","",iferror(max(min(TTM!X127,0.5),-0.5),""))</f>
        <v>0.01881946659</v>
      </c>
      <c r="Y127" s="14" t="str">
        <f>if(TTM!Y127="","",iferror(max(min(TTM!Y127,0.5),-0.5),""))</f>
        <v/>
      </c>
      <c r="Z127" s="14" t="str">
        <f>if(TTM!Z127="","",iferror(max(min(TTM!Z127,0.5),-0.5),""))</f>
        <v/>
      </c>
      <c r="AA127" s="14" t="str">
        <f>if(TTM!AA127="","",iferror(max(min(TTM!AA127,0.5),-0.5),""))</f>
        <v/>
      </c>
      <c r="AB127" s="14" t="str">
        <f>if(TTM!AB127="","",iferror(max(min(TTM!AB127,0.5),-0.5),""))</f>
        <v/>
      </c>
      <c r="AC127" s="14" t="str">
        <f>if(TTM!AC127="","",iferror(max(min(TTM!AC127,0.5),-0.5),""))</f>
        <v/>
      </c>
      <c r="AD127" s="12"/>
    </row>
    <row r="128">
      <c r="A128" s="15" t="s">
        <v>41</v>
      </c>
      <c r="B128" s="14" t="str">
        <f>if(TTM!B128="","",iferror(max(min(TTM!B128,0.5),-0.5),""))</f>
        <v/>
      </c>
      <c r="C128" s="14">
        <f>if(TTM!C128="","",iferror(max(min(TTM!C128,0.5),-0.5),""))</f>
        <v>-0.1203146701</v>
      </c>
      <c r="D128" s="14">
        <f>if(TTM!D128="","",iferror(max(min(TTM!D128,0.5),-0.5),""))</f>
        <v>-0.4864208377</v>
      </c>
      <c r="E128" s="14" t="str">
        <f>if(TTM!E128="","",iferror(max(min(TTM!E128,0.5),-0.5),""))</f>
        <v/>
      </c>
      <c r="F128" s="14" t="str">
        <f>if(TTM!F128="","",iferror(max(min(TTM!F128,0.5),-0.5),""))</f>
        <v/>
      </c>
      <c r="G128" s="14" t="str">
        <f>if(TTM!G128="","",iferror(max(min(TTM!G128,0.5),-0.5),""))</f>
        <v/>
      </c>
      <c r="H128" s="14" t="str">
        <f>if(TTM!H128="","",iferror(max(min(TTM!H128,0.5),-0.5),""))</f>
        <v/>
      </c>
      <c r="I128" s="14" t="str">
        <f>if(TTM!I128="","",iferror(max(min(TTM!I128,0.5),-0.5),""))</f>
        <v/>
      </c>
      <c r="J128" s="14" t="str">
        <f>if(TTM!J128="","",iferror(max(min(TTM!J128,0.5),-0.5),""))</f>
        <v/>
      </c>
      <c r="K128" s="14" t="str">
        <f>if(TTM!K128="","",iferror(max(min(TTM!K128,0.5),-0.5),""))</f>
        <v/>
      </c>
      <c r="L128" s="14" t="str">
        <f>if(TTM!L128="","",iferror(max(min(TTM!L128,0.5),-0.5),""))</f>
        <v/>
      </c>
      <c r="M128" s="14" t="str">
        <f>if(TTM!M128="","",iferror(max(min(TTM!M128,0.5),-0.5),""))</f>
        <v/>
      </c>
      <c r="N128" s="14" t="str">
        <f>if(TTM!N128="","",iferror(max(min(TTM!N128,0.5),-0.5),""))</f>
        <v/>
      </c>
      <c r="O128" s="14" t="str">
        <f>if(TTM!O128="","",iferror(max(min(TTM!O128,0.5),-0.5),""))</f>
        <v/>
      </c>
      <c r="P128" s="14" t="str">
        <f>if(TTM!P128="","",iferror(max(min(TTM!P128,0.5),-0.5),""))</f>
        <v/>
      </c>
      <c r="Q128" s="14" t="str">
        <f>if(TTM!Q128="","",iferror(max(min(TTM!Q128,0.5),-0.5),""))</f>
        <v/>
      </c>
      <c r="R128" s="14"/>
      <c r="S128" s="14">
        <f>if(TTM!S128="","",iferror(max(min(TTM!S128,0.5),-0.5),""))</f>
        <v>-0.5</v>
      </c>
      <c r="T128" s="14" t="str">
        <f>if(TTM!T128="","",iferror(max(min(TTM!T128,0.5),-0.5),""))</f>
        <v/>
      </c>
      <c r="U128" s="14" t="str">
        <f>if(TTM!U128="","",iferror(max(min(TTM!U128,0.5),-0.5),""))</f>
        <v/>
      </c>
      <c r="V128" s="14" t="str">
        <f>if(TTM!V128="","",iferror(max(min(TTM!V128,0.5),-0.5),""))</f>
        <v/>
      </c>
      <c r="W128" s="14">
        <f>if(TTM!W128="","",iferror(max(min(TTM!W128,0.5),-0.5),""))</f>
        <v>-0.3214202253</v>
      </c>
      <c r="X128" s="14">
        <f>if(TTM!X128="","",iferror(max(min(TTM!X128,0.5),-0.5),""))</f>
        <v>0.02041317475</v>
      </c>
      <c r="Y128" s="14" t="str">
        <f>if(TTM!Y128="","",iferror(max(min(TTM!Y128,0.5),-0.5),""))</f>
        <v/>
      </c>
      <c r="Z128" s="14" t="str">
        <f>if(TTM!Z128="","",iferror(max(min(TTM!Z128,0.5),-0.5),""))</f>
        <v/>
      </c>
      <c r="AA128" s="14" t="str">
        <f>if(TTM!AA128="","",iferror(max(min(TTM!AA128,0.5),-0.5),""))</f>
        <v/>
      </c>
      <c r="AB128" s="14" t="str">
        <f>if(TTM!AB128="","",iferror(max(min(TTM!AB128,0.5),-0.5),""))</f>
        <v/>
      </c>
      <c r="AC128" s="14" t="str">
        <f>if(TTM!AC128="","",iferror(max(min(TTM!AC128,0.5),-0.5),""))</f>
        <v/>
      </c>
      <c r="AD128" s="12"/>
    </row>
    <row r="129">
      <c r="A129" s="15" t="s">
        <v>42</v>
      </c>
      <c r="B129" s="14" t="str">
        <f>if(TTM!B129="","",iferror(max(min(TTM!B129,0.5),-0.5),""))</f>
        <v/>
      </c>
      <c r="C129" s="14">
        <f>if(TTM!C129="","",iferror(max(min(TTM!C129,0.5),-0.5),""))</f>
        <v>-0.09661553593</v>
      </c>
      <c r="D129" s="14">
        <f>if(TTM!D129="","",iferror(max(min(TTM!D129,0.5),-0.5),""))</f>
        <v>-0.5</v>
      </c>
      <c r="E129" s="14" t="str">
        <f>if(TTM!E129="","",iferror(max(min(TTM!E129,0.5),-0.5),""))</f>
        <v/>
      </c>
      <c r="F129" s="14" t="str">
        <f>if(TTM!F129="","",iferror(max(min(TTM!F129,0.5),-0.5),""))</f>
        <v/>
      </c>
      <c r="G129" s="14" t="str">
        <f>if(TTM!G129="","",iferror(max(min(TTM!G129,0.5),-0.5),""))</f>
        <v/>
      </c>
      <c r="H129" s="14" t="str">
        <f>if(TTM!H129="","",iferror(max(min(TTM!H129,0.5),-0.5),""))</f>
        <v/>
      </c>
      <c r="I129" s="14" t="str">
        <f>if(TTM!I129="","",iferror(max(min(TTM!I129,0.5),-0.5),""))</f>
        <v/>
      </c>
      <c r="J129" s="14" t="str">
        <f>if(TTM!J129="","",iferror(max(min(TTM!J129,0.5),-0.5),""))</f>
        <v/>
      </c>
      <c r="K129" s="14" t="str">
        <f>if(TTM!K129="","",iferror(max(min(TTM!K129,0.5),-0.5),""))</f>
        <v/>
      </c>
      <c r="L129" s="14" t="str">
        <f>if(TTM!L129="","",iferror(max(min(TTM!L129,0.5),-0.5),""))</f>
        <v/>
      </c>
      <c r="M129" s="14" t="str">
        <f>if(TTM!M129="","",iferror(max(min(TTM!M129,0.5),-0.5),""))</f>
        <v/>
      </c>
      <c r="N129" s="14" t="str">
        <f>if(TTM!N129="","",iferror(max(min(TTM!N129,0.5),-0.5),""))</f>
        <v/>
      </c>
      <c r="O129" s="14" t="str">
        <f>if(TTM!O129="","",iferror(max(min(TTM!O129,0.5),-0.5),""))</f>
        <v/>
      </c>
      <c r="P129" s="14" t="str">
        <f>if(TTM!P129="","",iferror(max(min(TTM!P129,0.5),-0.5),""))</f>
        <v/>
      </c>
      <c r="Q129" s="14" t="str">
        <f>if(TTM!Q129="","",iferror(max(min(TTM!Q129,0.5),-0.5),""))</f>
        <v/>
      </c>
      <c r="R129" s="14"/>
      <c r="S129" s="14">
        <f>if(TTM!S129="","",iferror(max(min(TTM!S129,0.5),-0.5),""))</f>
        <v>-0.5</v>
      </c>
      <c r="T129" s="14" t="str">
        <f>if(TTM!T129="","",iferror(max(min(TTM!T129,0.5),-0.5),""))</f>
        <v/>
      </c>
      <c r="U129" s="14" t="str">
        <f>if(TTM!U129="","",iferror(max(min(TTM!U129,0.5),-0.5),""))</f>
        <v/>
      </c>
      <c r="V129" s="14" t="str">
        <f>if(TTM!V129="","",iferror(max(min(TTM!V129,0.5),-0.5),""))</f>
        <v/>
      </c>
      <c r="W129" s="14">
        <f>if(TTM!W129="","",iferror(max(min(TTM!W129,0.5),-0.5),""))</f>
        <v>-0.3824831375</v>
      </c>
      <c r="X129" s="14">
        <f>if(TTM!X129="","",iferror(max(min(TTM!X129,0.5),-0.5),""))</f>
        <v>0.02200688291</v>
      </c>
      <c r="Y129" s="14" t="str">
        <f>if(TTM!Y129="","",iferror(max(min(TTM!Y129,0.5),-0.5),""))</f>
        <v/>
      </c>
      <c r="Z129" s="14" t="str">
        <f>if(TTM!Z129="","",iferror(max(min(TTM!Z129,0.5),-0.5),""))</f>
        <v/>
      </c>
      <c r="AA129" s="14" t="str">
        <f>if(TTM!AA129="","",iferror(max(min(TTM!AA129,0.5),-0.5),""))</f>
        <v/>
      </c>
      <c r="AB129" s="14" t="str">
        <f>if(TTM!AB129="","",iferror(max(min(TTM!AB129,0.5),-0.5),""))</f>
        <v/>
      </c>
      <c r="AC129" s="14" t="str">
        <f>if(TTM!AC129="","",iferror(max(min(TTM!AC129,0.5),-0.5),""))</f>
        <v/>
      </c>
      <c r="AD129" s="12"/>
    </row>
    <row r="130">
      <c r="A130" s="15" t="s">
        <v>43</v>
      </c>
      <c r="B130" s="14" t="str">
        <f>if(TTM!B130="","",iferror(max(min(TTM!B130,0.5),-0.5),""))</f>
        <v/>
      </c>
      <c r="C130" s="14">
        <f>if(TTM!C130="","",iferror(max(min(TTM!C130,0.5),-0.5),""))</f>
        <v>-0.07291640178</v>
      </c>
      <c r="D130" s="14">
        <f>if(TTM!D130="","",iferror(max(min(TTM!D130,0.5),-0.5),""))</f>
        <v>-0.5</v>
      </c>
      <c r="E130" s="14" t="str">
        <f>if(TTM!E130="","",iferror(max(min(TTM!E130,0.5),-0.5),""))</f>
        <v/>
      </c>
      <c r="F130" s="14" t="str">
        <f>if(TTM!F130="","",iferror(max(min(TTM!F130,0.5),-0.5),""))</f>
        <v/>
      </c>
      <c r="G130" s="14" t="str">
        <f>if(TTM!G130="","",iferror(max(min(TTM!G130,0.5),-0.5),""))</f>
        <v/>
      </c>
      <c r="H130" s="14" t="str">
        <f>if(TTM!H130="","",iferror(max(min(TTM!H130,0.5),-0.5),""))</f>
        <v/>
      </c>
      <c r="I130" s="14" t="str">
        <f>if(TTM!I130="","",iferror(max(min(TTM!I130,0.5),-0.5),""))</f>
        <v/>
      </c>
      <c r="J130" s="14" t="str">
        <f>if(TTM!J130="","",iferror(max(min(TTM!J130,0.5),-0.5),""))</f>
        <v/>
      </c>
      <c r="K130" s="14" t="str">
        <f>if(TTM!K130="","",iferror(max(min(TTM!K130,0.5),-0.5),""))</f>
        <v/>
      </c>
      <c r="L130" s="14" t="str">
        <f>if(TTM!L130="","",iferror(max(min(TTM!L130,0.5),-0.5),""))</f>
        <v/>
      </c>
      <c r="M130" s="14" t="str">
        <f>if(TTM!M130="","",iferror(max(min(TTM!M130,0.5),-0.5),""))</f>
        <v/>
      </c>
      <c r="N130" s="14" t="str">
        <f>if(TTM!N130="","",iferror(max(min(TTM!N130,0.5),-0.5),""))</f>
        <v/>
      </c>
      <c r="O130" s="14" t="str">
        <f>if(TTM!O130="","",iferror(max(min(TTM!O130,0.5),-0.5),""))</f>
        <v/>
      </c>
      <c r="P130" s="14" t="str">
        <f>if(TTM!P130="","",iferror(max(min(TTM!P130,0.5),-0.5),""))</f>
        <v/>
      </c>
      <c r="Q130" s="14" t="str">
        <f>if(TTM!Q130="","",iferror(max(min(TTM!Q130,0.5),-0.5),""))</f>
        <v/>
      </c>
      <c r="R130" s="14"/>
      <c r="S130" s="14">
        <f>if(TTM!S130="","",iferror(max(min(TTM!S130,0.5),-0.5),""))</f>
        <v>-0.5</v>
      </c>
      <c r="T130" s="14" t="str">
        <f>if(TTM!T130="","",iferror(max(min(TTM!T130,0.5),-0.5),""))</f>
        <v/>
      </c>
      <c r="U130" s="14" t="str">
        <f>if(TTM!U130="","",iferror(max(min(TTM!U130,0.5),-0.5),""))</f>
        <v/>
      </c>
      <c r="V130" s="14" t="str">
        <f>if(TTM!V130="","",iferror(max(min(TTM!V130,0.5),-0.5),""))</f>
        <v/>
      </c>
      <c r="W130" s="14">
        <f>if(TTM!W130="","",iferror(max(min(TTM!W130,0.5),-0.5),""))</f>
        <v>-0.4435460497</v>
      </c>
      <c r="X130" s="14">
        <f>if(TTM!X130="","",iferror(max(min(TTM!X130,0.5),-0.5),""))</f>
        <v>0.02360059107</v>
      </c>
      <c r="Y130" s="14" t="str">
        <f>if(TTM!Y130="","",iferror(max(min(TTM!Y130,0.5),-0.5),""))</f>
        <v/>
      </c>
      <c r="Z130" s="14" t="str">
        <f>if(TTM!Z130="","",iferror(max(min(TTM!Z130,0.5),-0.5),""))</f>
        <v/>
      </c>
      <c r="AA130" s="14" t="str">
        <f>if(TTM!AA130="","",iferror(max(min(TTM!AA130,0.5),-0.5),""))</f>
        <v/>
      </c>
      <c r="AB130" s="14" t="str">
        <f>if(TTM!AB130="","",iferror(max(min(TTM!AB130,0.5),-0.5),""))</f>
        <v/>
      </c>
      <c r="AC130" s="14" t="str">
        <f>if(TTM!AC130="","",iferror(max(min(TTM!AC130,0.5),-0.5),""))</f>
        <v/>
      </c>
      <c r="AD130" s="12"/>
    </row>
    <row r="131">
      <c r="A131" s="15" t="s">
        <v>44</v>
      </c>
      <c r="B131" s="14" t="str">
        <f>if(TTM!B131="","",iferror(max(min(TTM!B131,0.5),-0.5),""))</f>
        <v/>
      </c>
      <c r="C131" s="14">
        <f>if(TTM!C131="","",iferror(max(min(TTM!C131,0.5),-0.5),""))</f>
        <v>-0.04921726762</v>
      </c>
      <c r="D131" s="14">
        <f>if(TTM!D131="","",iferror(max(min(TTM!D131,0.5),-0.5),""))</f>
        <v>-0.5</v>
      </c>
      <c r="E131" s="14" t="str">
        <f>if(TTM!E131="","",iferror(max(min(TTM!E131,0.5),-0.5),""))</f>
        <v/>
      </c>
      <c r="F131" s="14" t="str">
        <f>if(TTM!F131="","",iferror(max(min(TTM!F131,0.5),-0.5),""))</f>
        <v/>
      </c>
      <c r="G131" s="14" t="str">
        <f>if(TTM!G131="","",iferror(max(min(TTM!G131,0.5),-0.5),""))</f>
        <v/>
      </c>
      <c r="H131" s="14" t="str">
        <f>if(TTM!H131="","",iferror(max(min(TTM!H131,0.5),-0.5),""))</f>
        <v/>
      </c>
      <c r="I131" s="14" t="str">
        <f>if(TTM!I131="","",iferror(max(min(TTM!I131,0.5),-0.5),""))</f>
        <v/>
      </c>
      <c r="J131" s="14" t="str">
        <f>if(TTM!J131="","",iferror(max(min(TTM!J131,0.5),-0.5),""))</f>
        <v/>
      </c>
      <c r="K131" s="14" t="str">
        <f>if(TTM!K131="","",iferror(max(min(TTM!K131,0.5),-0.5),""))</f>
        <v/>
      </c>
      <c r="L131" s="14" t="str">
        <f>if(TTM!L131="","",iferror(max(min(TTM!L131,0.5),-0.5),""))</f>
        <v/>
      </c>
      <c r="M131" s="14" t="str">
        <f>if(TTM!M131="","",iferror(max(min(TTM!M131,0.5),-0.5),""))</f>
        <v/>
      </c>
      <c r="N131" s="14" t="str">
        <f>if(TTM!N131="","",iferror(max(min(TTM!N131,0.5),-0.5),""))</f>
        <v/>
      </c>
      <c r="O131" s="14" t="str">
        <f>if(TTM!O131="","",iferror(max(min(TTM!O131,0.5),-0.5),""))</f>
        <v/>
      </c>
      <c r="P131" s="14" t="str">
        <f>if(TTM!P131="","",iferror(max(min(TTM!P131,0.5),-0.5),""))</f>
        <v/>
      </c>
      <c r="Q131" s="14" t="str">
        <f>if(TTM!Q131="","",iferror(max(min(TTM!Q131,0.5),-0.5),""))</f>
        <v/>
      </c>
      <c r="R131" s="14"/>
      <c r="S131" s="14">
        <f>if(TTM!S131="","",iferror(max(min(TTM!S131,0.5),-0.5),""))</f>
        <v>-0.5</v>
      </c>
      <c r="T131" s="14" t="str">
        <f>if(TTM!T131="","",iferror(max(min(TTM!T131,0.5),-0.5),""))</f>
        <v/>
      </c>
      <c r="U131" s="14" t="str">
        <f>if(TTM!U131="","",iferror(max(min(TTM!U131,0.5),-0.5),""))</f>
        <v/>
      </c>
      <c r="V131" s="14" t="str">
        <f>if(TTM!V131="","",iferror(max(min(TTM!V131,0.5),-0.5),""))</f>
        <v/>
      </c>
      <c r="W131" s="14">
        <f>if(TTM!W131="","",iferror(max(min(TTM!W131,0.5),-0.5),""))</f>
        <v>-0.5</v>
      </c>
      <c r="X131" s="14">
        <f>if(TTM!X131="","",iferror(max(min(TTM!X131,0.5),-0.5),""))</f>
        <v>0.02466735509</v>
      </c>
      <c r="Y131" s="14" t="str">
        <f>if(TTM!Y131="","",iferror(max(min(TTM!Y131,0.5),-0.5),""))</f>
        <v/>
      </c>
      <c r="Z131" s="14" t="str">
        <f>if(TTM!Z131="","",iferror(max(min(TTM!Z131,0.5),-0.5),""))</f>
        <v/>
      </c>
      <c r="AA131" s="14" t="str">
        <f>if(TTM!AA131="","",iferror(max(min(TTM!AA131,0.5),-0.5),""))</f>
        <v/>
      </c>
      <c r="AB131" s="14" t="str">
        <f>if(TTM!AB131="","",iferror(max(min(TTM!AB131,0.5),-0.5),""))</f>
        <v/>
      </c>
      <c r="AC131" s="14" t="str">
        <f>if(TTM!AC131="","",iferror(max(min(TTM!AC131,0.5),-0.5),""))</f>
        <v/>
      </c>
      <c r="AD131" s="12"/>
    </row>
    <row r="132">
      <c r="A132" s="15" t="s">
        <v>45</v>
      </c>
      <c r="B132" s="14" t="str">
        <f>if(TTM!B132="","",iferror(max(min(TTM!B132,0.5),-0.5),""))</f>
        <v/>
      </c>
      <c r="C132" s="14">
        <f>if(TTM!C132="","",iferror(max(min(TTM!C132,0.5),-0.5),""))</f>
        <v>-0.02551813346</v>
      </c>
      <c r="D132" s="14">
        <f>if(TTM!D132="","",iferror(max(min(TTM!D132,0.5),-0.5),""))</f>
        <v>-0.5</v>
      </c>
      <c r="E132" s="14">
        <f>if(TTM!E132="","",iferror(max(min(TTM!E132,0.5),-0.5),""))</f>
        <v>-0.5</v>
      </c>
      <c r="F132" s="14" t="str">
        <f>if(TTM!F132="","",iferror(max(min(TTM!F132,0.5),-0.5),""))</f>
        <v/>
      </c>
      <c r="G132" s="14" t="str">
        <f>if(TTM!G132="","",iferror(max(min(TTM!G132,0.5),-0.5),""))</f>
        <v/>
      </c>
      <c r="H132" s="14" t="str">
        <f>if(TTM!H132="","",iferror(max(min(TTM!H132,0.5),-0.5),""))</f>
        <v/>
      </c>
      <c r="I132" s="14" t="str">
        <f>if(TTM!I132="","",iferror(max(min(TTM!I132,0.5),-0.5),""))</f>
        <v/>
      </c>
      <c r="J132" s="14" t="str">
        <f>if(TTM!J132="","",iferror(max(min(TTM!J132,0.5),-0.5),""))</f>
        <v/>
      </c>
      <c r="K132" s="14" t="str">
        <f>if(TTM!K132="","",iferror(max(min(TTM!K132,0.5),-0.5),""))</f>
        <v/>
      </c>
      <c r="L132" s="14" t="str">
        <f>if(TTM!L132="","",iferror(max(min(TTM!L132,0.5),-0.5),""))</f>
        <v/>
      </c>
      <c r="M132" s="14" t="str">
        <f>if(TTM!M132="","",iferror(max(min(TTM!M132,0.5),-0.5),""))</f>
        <v/>
      </c>
      <c r="N132" s="14" t="str">
        <f>if(TTM!N132="","",iferror(max(min(TTM!N132,0.5),-0.5),""))</f>
        <v/>
      </c>
      <c r="O132" s="14" t="str">
        <f>if(TTM!O132="","",iferror(max(min(TTM!O132,0.5),-0.5),""))</f>
        <v/>
      </c>
      <c r="P132" s="14" t="str">
        <f>if(TTM!P132="","",iferror(max(min(TTM!P132,0.5),-0.5),""))</f>
        <v/>
      </c>
      <c r="Q132" s="14" t="str">
        <f>if(TTM!Q132="","",iferror(max(min(TTM!Q132,0.5),-0.5),""))</f>
        <v/>
      </c>
      <c r="R132" s="14"/>
      <c r="S132" s="14">
        <f>if(TTM!S132="","",iferror(max(min(TTM!S132,0.5),-0.5),""))</f>
        <v>-0.5</v>
      </c>
      <c r="T132" s="14" t="str">
        <f>if(TTM!T132="","",iferror(max(min(TTM!T132,0.5),-0.5),""))</f>
        <v/>
      </c>
      <c r="U132" s="14" t="str">
        <f>if(TTM!U132="","",iferror(max(min(TTM!U132,0.5),-0.5),""))</f>
        <v/>
      </c>
      <c r="V132" s="14" t="str">
        <f>if(TTM!V132="","",iferror(max(min(TTM!V132,0.5),-0.5),""))</f>
        <v/>
      </c>
      <c r="W132" s="14">
        <f>if(TTM!W132="","",iferror(max(min(TTM!W132,0.5),-0.5),""))</f>
        <v>-0.5</v>
      </c>
      <c r="X132" s="14">
        <f>if(TTM!X132="","",iferror(max(min(TTM!X132,0.5),-0.5),""))</f>
        <v>0.02573411911</v>
      </c>
      <c r="Y132" s="14" t="str">
        <f>if(TTM!Y132="","",iferror(max(min(TTM!Y132,0.5),-0.5),""))</f>
        <v/>
      </c>
      <c r="Z132" s="14" t="str">
        <f>if(TTM!Z132="","",iferror(max(min(TTM!Z132,0.5),-0.5),""))</f>
        <v/>
      </c>
      <c r="AA132" s="14" t="str">
        <f>if(TTM!AA132="","",iferror(max(min(TTM!AA132,0.5),-0.5),""))</f>
        <v/>
      </c>
      <c r="AB132" s="14" t="str">
        <f>if(TTM!AB132="","",iferror(max(min(TTM!AB132,0.5),-0.5),""))</f>
        <v/>
      </c>
      <c r="AC132" s="14" t="str">
        <f>if(TTM!AC132="","",iferror(max(min(TTM!AC132,0.5),-0.5),""))</f>
        <v/>
      </c>
      <c r="AD132" s="12"/>
    </row>
    <row r="133">
      <c r="A133" s="15" t="s">
        <v>46</v>
      </c>
      <c r="B133" s="14" t="str">
        <f>if(TTM!B133="","",iferror(max(min(TTM!B133,0.5),-0.5),""))</f>
        <v/>
      </c>
      <c r="C133" s="14">
        <f>if(TTM!C133="","",iferror(max(min(TTM!C133,0.5),-0.5),""))</f>
        <v>-0.01769845016</v>
      </c>
      <c r="D133" s="14">
        <f>if(TTM!D133="","",iferror(max(min(TTM!D133,0.5),-0.5),""))</f>
        <v>-0.5</v>
      </c>
      <c r="E133" s="14">
        <f>if(TTM!E133="","",iferror(max(min(TTM!E133,0.5),-0.5),""))</f>
        <v>-0.5</v>
      </c>
      <c r="F133" s="14" t="str">
        <f>if(TTM!F133="","",iferror(max(min(TTM!F133,0.5),-0.5),""))</f>
        <v/>
      </c>
      <c r="G133" s="14" t="str">
        <f>if(TTM!G133="","",iferror(max(min(TTM!G133,0.5),-0.5),""))</f>
        <v/>
      </c>
      <c r="H133" s="14" t="str">
        <f>if(TTM!H133="","",iferror(max(min(TTM!H133,0.5),-0.5),""))</f>
        <v/>
      </c>
      <c r="I133" s="14" t="str">
        <f>if(TTM!I133="","",iferror(max(min(TTM!I133,0.5),-0.5),""))</f>
        <v/>
      </c>
      <c r="J133" s="14" t="str">
        <f>if(TTM!J133="","",iferror(max(min(TTM!J133,0.5),-0.5),""))</f>
        <v/>
      </c>
      <c r="K133" s="14" t="str">
        <f>if(TTM!K133="","",iferror(max(min(TTM!K133,0.5),-0.5),""))</f>
        <v/>
      </c>
      <c r="L133" s="14" t="str">
        <f>if(TTM!L133="","",iferror(max(min(TTM!L133,0.5),-0.5),""))</f>
        <v/>
      </c>
      <c r="M133" s="14" t="str">
        <f>if(TTM!M133="","",iferror(max(min(TTM!M133,0.5),-0.5),""))</f>
        <v/>
      </c>
      <c r="N133" s="14" t="str">
        <f>if(TTM!N133="","",iferror(max(min(TTM!N133,0.5),-0.5),""))</f>
        <v/>
      </c>
      <c r="O133" s="14" t="str">
        <f>if(TTM!O133="","",iferror(max(min(TTM!O133,0.5),-0.5),""))</f>
        <v/>
      </c>
      <c r="P133" s="14" t="str">
        <f>if(TTM!P133="","",iferror(max(min(TTM!P133,0.5),-0.5),""))</f>
        <v/>
      </c>
      <c r="Q133" s="14" t="str">
        <f>if(TTM!Q133="","",iferror(max(min(TTM!Q133,0.5),-0.5),""))</f>
        <v/>
      </c>
      <c r="R133" s="14"/>
      <c r="S133" s="14">
        <f>if(TTM!S133="","",iferror(max(min(TTM!S133,0.5),-0.5),""))</f>
        <v>-0.5</v>
      </c>
      <c r="T133" s="14" t="str">
        <f>if(TTM!T133="","",iferror(max(min(TTM!T133,0.5),-0.5),""))</f>
        <v/>
      </c>
      <c r="U133" s="14" t="str">
        <f>if(TTM!U133="","",iferror(max(min(TTM!U133,0.5),-0.5),""))</f>
        <v/>
      </c>
      <c r="V133" s="14">
        <f>if(TTM!V133="","",iferror(max(min(TTM!V133,0.5),-0.5),""))</f>
        <v>-0.5</v>
      </c>
      <c r="W133" s="14">
        <f>if(TTM!W133="","",iferror(max(min(TTM!W133,0.5),-0.5),""))</f>
        <v>-0.5</v>
      </c>
      <c r="X133" s="14">
        <f>if(TTM!X133="","",iferror(max(min(TTM!X133,0.5),-0.5),""))</f>
        <v>0.02680088313</v>
      </c>
      <c r="Y133" s="14" t="str">
        <f>if(TTM!Y133="","",iferror(max(min(TTM!Y133,0.5),-0.5),""))</f>
        <v/>
      </c>
      <c r="Z133" s="14" t="str">
        <f>if(TTM!Z133="","",iferror(max(min(TTM!Z133,0.5),-0.5),""))</f>
        <v/>
      </c>
      <c r="AA133" s="14" t="str">
        <f>if(TTM!AA133="","",iferror(max(min(TTM!AA133,0.5),-0.5),""))</f>
        <v/>
      </c>
      <c r="AB133" s="14" t="str">
        <f>if(TTM!AB133="","",iferror(max(min(TTM!AB133,0.5),-0.5),""))</f>
        <v/>
      </c>
      <c r="AC133" s="14" t="str">
        <f>if(TTM!AC133="","",iferror(max(min(TTM!AC133,0.5),-0.5),""))</f>
        <v/>
      </c>
      <c r="AD133" s="12"/>
    </row>
    <row r="134">
      <c r="A134" s="15" t="s">
        <v>47</v>
      </c>
      <c r="B134" s="14" t="str">
        <f>if(TTM!B134="","",iferror(max(min(TTM!B134,0.5),-0.5),""))</f>
        <v/>
      </c>
      <c r="C134" s="14">
        <f>if(TTM!C134="","",iferror(max(min(TTM!C134,0.5),-0.5),""))</f>
        <v>-0.00987876687</v>
      </c>
      <c r="D134" s="14">
        <f>if(TTM!D134="","",iferror(max(min(TTM!D134,0.5),-0.5),""))</f>
        <v>-0.5</v>
      </c>
      <c r="E134" s="14">
        <f>if(TTM!E134="","",iferror(max(min(TTM!E134,0.5),-0.5),""))</f>
        <v>-0.5</v>
      </c>
      <c r="F134" s="14" t="str">
        <f>if(TTM!F134="","",iferror(max(min(TTM!F134,0.5),-0.5),""))</f>
        <v/>
      </c>
      <c r="G134" s="14" t="str">
        <f>if(TTM!G134="","",iferror(max(min(TTM!G134,0.5),-0.5),""))</f>
        <v/>
      </c>
      <c r="H134" s="14" t="str">
        <f>if(TTM!H134="","",iferror(max(min(TTM!H134,0.5),-0.5),""))</f>
        <v/>
      </c>
      <c r="I134" s="14" t="str">
        <f>if(TTM!I134="","",iferror(max(min(TTM!I134,0.5),-0.5),""))</f>
        <v/>
      </c>
      <c r="J134" s="14" t="str">
        <f>if(TTM!J134="","",iferror(max(min(TTM!J134,0.5),-0.5),""))</f>
        <v/>
      </c>
      <c r="K134" s="14" t="str">
        <f>if(TTM!K134="","",iferror(max(min(TTM!K134,0.5),-0.5),""))</f>
        <v/>
      </c>
      <c r="L134" s="14" t="str">
        <f>if(TTM!L134="","",iferror(max(min(TTM!L134,0.5),-0.5),""))</f>
        <v/>
      </c>
      <c r="M134" s="14" t="str">
        <f>if(TTM!M134="","",iferror(max(min(TTM!M134,0.5),-0.5),""))</f>
        <v/>
      </c>
      <c r="N134" s="14" t="str">
        <f>if(TTM!N134="","",iferror(max(min(TTM!N134,0.5),-0.5),""))</f>
        <v/>
      </c>
      <c r="O134" s="14">
        <f>if(TTM!O134="","",iferror(max(min(TTM!O134,0.5),-0.5),""))</f>
        <v>-0.5</v>
      </c>
      <c r="P134" s="14" t="str">
        <f>if(TTM!P134="","",iferror(max(min(TTM!P134,0.5),-0.5),""))</f>
        <v/>
      </c>
      <c r="Q134" s="14" t="str">
        <f>if(TTM!Q134="","",iferror(max(min(TTM!Q134,0.5),-0.5),""))</f>
        <v/>
      </c>
      <c r="R134" s="14"/>
      <c r="S134" s="14">
        <f>if(TTM!S134="","",iferror(max(min(TTM!S134,0.5),-0.5),""))</f>
        <v>-0.5</v>
      </c>
      <c r="T134" s="14" t="str">
        <f>if(TTM!T134="","",iferror(max(min(TTM!T134,0.5),-0.5),""))</f>
        <v/>
      </c>
      <c r="U134" s="14" t="str">
        <f>if(TTM!U134="","",iferror(max(min(TTM!U134,0.5),-0.5),""))</f>
        <v/>
      </c>
      <c r="V134" s="14">
        <f>if(TTM!V134="","",iferror(max(min(TTM!V134,0.5),-0.5),""))</f>
        <v>-0.5</v>
      </c>
      <c r="W134" s="14">
        <f>if(TTM!W134="","",iferror(max(min(TTM!W134,0.5),-0.5),""))</f>
        <v>-0.4346750861</v>
      </c>
      <c r="X134" s="14">
        <f>if(TTM!X134="","",iferror(max(min(TTM!X134,0.5),-0.5),""))</f>
        <v>0.02786764716</v>
      </c>
      <c r="Y134" s="14" t="str">
        <f>if(TTM!Y134="","",iferror(max(min(TTM!Y134,0.5),-0.5),""))</f>
        <v/>
      </c>
      <c r="Z134" s="14" t="str">
        <f>if(TTM!Z134="","",iferror(max(min(TTM!Z134,0.5),-0.5),""))</f>
        <v/>
      </c>
      <c r="AA134" s="14" t="str">
        <f>if(TTM!AA134="","",iferror(max(min(TTM!AA134,0.5),-0.5),""))</f>
        <v/>
      </c>
      <c r="AB134" s="14" t="str">
        <f>if(TTM!AB134="","",iferror(max(min(TTM!AB134,0.5),-0.5),""))</f>
        <v/>
      </c>
      <c r="AC134" s="14" t="str">
        <f>if(TTM!AC134="","",iferror(max(min(TTM!AC134,0.5),-0.5),""))</f>
        <v/>
      </c>
      <c r="AD134" s="12"/>
    </row>
    <row r="135">
      <c r="A135" s="15" t="s">
        <v>48</v>
      </c>
      <c r="B135" s="14" t="str">
        <f>if(TTM!B135="","",iferror(max(min(TTM!B135,0.5),-0.5),""))</f>
        <v/>
      </c>
      <c r="C135" s="14">
        <f>if(TTM!C135="","",iferror(max(min(TTM!C135,0.5),-0.5),""))</f>
        <v>-0.002059083577</v>
      </c>
      <c r="D135" s="14">
        <f>if(TTM!D135="","",iferror(max(min(TTM!D135,0.5),-0.5),""))</f>
        <v>-0.3326857038</v>
      </c>
      <c r="E135" s="14">
        <f>if(TTM!E135="","",iferror(max(min(TTM!E135,0.5),-0.5),""))</f>
        <v>-0.5</v>
      </c>
      <c r="F135" s="14" t="str">
        <f>if(TTM!F135="","",iferror(max(min(TTM!F135,0.5),-0.5),""))</f>
        <v/>
      </c>
      <c r="G135" s="14" t="str">
        <f>if(TTM!G135="","",iferror(max(min(TTM!G135,0.5),-0.5),""))</f>
        <v/>
      </c>
      <c r="H135" s="14" t="str">
        <f>if(TTM!H135="","",iferror(max(min(TTM!H135,0.5),-0.5),""))</f>
        <v/>
      </c>
      <c r="I135" s="14" t="str">
        <f>if(TTM!I135="","",iferror(max(min(TTM!I135,0.5),-0.5),""))</f>
        <v/>
      </c>
      <c r="J135" s="14" t="str">
        <f>if(TTM!J135="","",iferror(max(min(TTM!J135,0.5),-0.5),""))</f>
        <v/>
      </c>
      <c r="K135" s="14" t="str">
        <f>if(TTM!K135="","",iferror(max(min(TTM!K135,0.5),-0.5),""))</f>
        <v/>
      </c>
      <c r="L135" s="14" t="str">
        <f>if(TTM!L135="","",iferror(max(min(TTM!L135,0.5),-0.5),""))</f>
        <v/>
      </c>
      <c r="M135" s="14" t="str">
        <f>if(TTM!M135="","",iferror(max(min(TTM!M135,0.5),-0.5),""))</f>
        <v/>
      </c>
      <c r="N135" s="14" t="str">
        <f>if(TTM!N135="","",iferror(max(min(TTM!N135,0.5),-0.5),""))</f>
        <v/>
      </c>
      <c r="O135" s="14">
        <f>if(TTM!O135="","",iferror(max(min(TTM!O135,0.5),-0.5),""))</f>
        <v>-0.5</v>
      </c>
      <c r="P135" s="14" t="str">
        <f>if(TTM!P135="","",iferror(max(min(TTM!P135,0.5),-0.5),""))</f>
        <v/>
      </c>
      <c r="Q135" s="14" t="str">
        <f>if(TTM!Q135="","",iferror(max(min(TTM!Q135,0.5),-0.5),""))</f>
        <v/>
      </c>
      <c r="R135" s="14"/>
      <c r="S135" s="14">
        <f>if(TTM!S135="","",iferror(max(min(TTM!S135,0.5),-0.5),""))</f>
        <v>-0.5</v>
      </c>
      <c r="T135" s="14" t="str">
        <f>if(TTM!T135="","",iferror(max(min(TTM!T135,0.5),-0.5),""))</f>
        <v/>
      </c>
      <c r="U135" s="14" t="str">
        <f>if(TTM!U135="","",iferror(max(min(TTM!U135,0.5),-0.5),""))</f>
        <v/>
      </c>
      <c r="V135" s="14">
        <f>if(TTM!V135="","",iferror(max(min(TTM!V135,0.5),-0.5),""))</f>
        <v>-0.5</v>
      </c>
      <c r="W135" s="14">
        <f>if(TTM!W135="","",iferror(max(min(TTM!W135,0.5),-0.5),""))</f>
        <v>-0.3691766921</v>
      </c>
      <c r="X135" s="14">
        <f>if(TTM!X135="","",iferror(max(min(TTM!X135,0.5),-0.5),""))</f>
        <v>0.026120288</v>
      </c>
      <c r="Y135" s="14" t="str">
        <f>if(TTM!Y135="","",iferror(max(min(TTM!Y135,0.5),-0.5),""))</f>
        <v/>
      </c>
      <c r="Z135" s="14" t="str">
        <f>if(TTM!Z135="","",iferror(max(min(TTM!Z135,0.5),-0.5),""))</f>
        <v/>
      </c>
      <c r="AA135" s="14" t="str">
        <f>if(TTM!AA135="","",iferror(max(min(TTM!AA135,0.5),-0.5),""))</f>
        <v/>
      </c>
      <c r="AB135" s="14" t="str">
        <f>if(TTM!AB135="","",iferror(max(min(TTM!AB135,0.5),-0.5),""))</f>
        <v/>
      </c>
      <c r="AC135" s="14" t="str">
        <f>if(TTM!AC135="","",iferror(max(min(TTM!AC135,0.5),-0.5),""))</f>
        <v/>
      </c>
      <c r="AD135" s="12"/>
    </row>
    <row r="136">
      <c r="A136" s="15" t="s">
        <v>49</v>
      </c>
      <c r="B136" s="14" t="str">
        <f>if(TTM!B136="","",iferror(max(min(TTM!B136,0.5),-0.5),""))</f>
        <v/>
      </c>
      <c r="C136" s="14">
        <f>if(TTM!C136="","",iferror(max(min(TTM!C136,0.5),-0.5),""))</f>
        <v>0.005760599717</v>
      </c>
      <c r="D136" s="14">
        <f>if(TTM!D136="","",iferror(max(min(TTM!D136,0.5),-0.5),""))</f>
        <v>-0.05839708397</v>
      </c>
      <c r="E136" s="14">
        <f>if(TTM!E136="","",iferror(max(min(TTM!E136,0.5),-0.5),""))</f>
        <v>-0.372036131</v>
      </c>
      <c r="F136" s="14" t="str">
        <f>if(TTM!F136="","",iferror(max(min(TTM!F136,0.5),-0.5),""))</f>
        <v/>
      </c>
      <c r="G136" s="14" t="str">
        <f>if(TTM!G136="","",iferror(max(min(TTM!G136,0.5),-0.5),""))</f>
        <v/>
      </c>
      <c r="H136" s="14" t="str">
        <f>if(TTM!H136="","",iferror(max(min(TTM!H136,0.5),-0.5),""))</f>
        <v/>
      </c>
      <c r="I136" s="14" t="str">
        <f>if(TTM!I136="","",iferror(max(min(TTM!I136,0.5),-0.5),""))</f>
        <v/>
      </c>
      <c r="J136" s="14" t="str">
        <f>if(TTM!J136="","",iferror(max(min(TTM!J136,0.5),-0.5),""))</f>
        <v/>
      </c>
      <c r="K136" s="14" t="str">
        <f>if(TTM!K136="","",iferror(max(min(TTM!K136,0.5),-0.5),""))</f>
        <v/>
      </c>
      <c r="L136" s="14" t="str">
        <f>if(TTM!L136="","",iferror(max(min(TTM!L136,0.5),-0.5),""))</f>
        <v/>
      </c>
      <c r="M136" s="14" t="str">
        <f>if(TTM!M136="","",iferror(max(min(TTM!M136,0.5),-0.5),""))</f>
        <v/>
      </c>
      <c r="N136" s="14" t="str">
        <f>if(TTM!N136="","",iferror(max(min(TTM!N136,0.5),-0.5),""))</f>
        <v/>
      </c>
      <c r="O136" s="14">
        <f>if(TTM!O136="","",iferror(max(min(TTM!O136,0.5),-0.5),""))</f>
        <v>-0.5</v>
      </c>
      <c r="P136" s="14" t="str">
        <f>if(TTM!P136="","",iferror(max(min(TTM!P136,0.5),-0.5),""))</f>
        <v/>
      </c>
      <c r="Q136" s="14" t="str">
        <f>if(TTM!Q136="","",iferror(max(min(TTM!Q136,0.5),-0.5),""))</f>
        <v/>
      </c>
      <c r="R136" s="14"/>
      <c r="S136" s="14">
        <f>if(TTM!S136="","",iferror(max(min(TTM!S136,0.5),-0.5),""))</f>
        <v>-0.5</v>
      </c>
      <c r="T136" s="14" t="str">
        <f>if(TTM!T136="","",iferror(max(min(TTM!T136,0.5),-0.5),""))</f>
        <v/>
      </c>
      <c r="U136" s="14" t="str">
        <f>if(TTM!U136="","",iferror(max(min(TTM!U136,0.5),-0.5),""))</f>
        <v/>
      </c>
      <c r="V136" s="14">
        <f>if(TTM!V136="","",iferror(max(min(TTM!V136,0.5),-0.5),""))</f>
        <v>-0.5</v>
      </c>
      <c r="W136" s="14">
        <f>if(TTM!W136="","",iferror(max(min(TTM!W136,0.5),-0.5),""))</f>
        <v>-0.303678298</v>
      </c>
      <c r="X136" s="14">
        <f>if(TTM!X136="","",iferror(max(min(TTM!X136,0.5),-0.5),""))</f>
        <v>0.02437292884</v>
      </c>
      <c r="Y136" s="14" t="str">
        <f>if(TTM!Y136="","",iferror(max(min(TTM!Y136,0.5),-0.5),""))</f>
        <v/>
      </c>
      <c r="Z136" s="14" t="str">
        <f>if(TTM!Z136="","",iferror(max(min(TTM!Z136,0.5),-0.5),""))</f>
        <v/>
      </c>
      <c r="AA136" s="14" t="str">
        <f>if(TTM!AA136="","",iferror(max(min(TTM!AA136,0.5),-0.5),""))</f>
        <v/>
      </c>
      <c r="AB136" s="14" t="str">
        <f>if(TTM!AB136="","",iferror(max(min(TTM!AB136,0.5),-0.5),""))</f>
        <v/>
      </c>
      <c r="AC136" s="14" t="str">
        <f>if(TTM!AC136="","",iferror(max(min(TTM!AC136,0.5),-0.5),""))</f>
        <v/>
      </c>
      <c r="AD136" s="12"/>
    </row>
    <row r="137">
      <c r="A137" s="15" t="s">
        <v>50</v>
      </c>
      <c r="B137" s="14" t="str">
        <f>if(TTM!B137="","",iferror(max(min(TTM!B137,0.5),-0.5),""))</f>
        <v/>
      </c>
      <c r="C137" s="14">
        <f>if(TTM!C137="","",iferror(max(min(TTM!C137,0.5),-0.5),""))</f>
        <v>0.009963600586</v>
      </c>
      <c r="D137" s="14">
        <f>if(TTM!D137="","",iferror(max(min(TTM!D137,0.5),-0.5),""))</f>
        <v>-0.0008713416541</v>
      </c>
      <c r="E137" s="14">
        <f>if(TTM!E137="","",iferror(max(min(TTM!E137,0.5),-0.5),""))</f>
        <v>-0.2110705053</v>
      </c>
      <c r="F137" s="14" t="str">
        <f>if(TTM!F137="","",iferror(max(min(TTM!F137,0.5),-0.5),""))</f>
        <v/>
      </c>
      <c r="G137" s="14" t="str">
        <f>if(TTM!G137="","",iferror(max(min(TTM!G137,0.5),-0.5),""))</f>
        <v/>
      </c>
      <c r="H137" s="14" t="str">
        <f>if(TTM!H137="","",iferror(max(min(TTM!H137,0.5),-0.5),""))</f>
        <v/>
      </c>
      <c r="I137" s="14" t="str">
        <f>if(TTM!I137="","",iferror(max(min(TTM!I137,0.5),-0.5),""))</f>
        <v/>
      </c>
      <c r="J137" s="14" t="str">
        <f>if(TTM!J137="","",iferror(max(min(TTM!J137,0.5),-0.5),""))</f>
        <v/>
      </c>
      <c r="K137" s="14" t="str">
        <f>if(TTM!K137="","",iferror(max(min(TTM!K137,0.5),-0.5),""))</f>
        <v/>
      </c>
      <c r="L137" s="14" t="str">
        <f>if(TTM!L137="","",iferror(max(min(TTM!L137,0.5),-0.5),""))</f>
        <v/>
      </c>
      <c r="M137" s="14" t="str">
        <f>if(TTM!M137="","",iferror(max(min(TTM!M137,0.5),-0.5),""))</f>
        <v/>
      </c>
      <c r="N137" s="14" t="str">
        <f>if(TTM!N137="","",iferror(max(min(TTM!N137,0.5),-0.5),""))</f>
        <v/>
      </c>
      <c r="O137" s="14">
        <f>if(TTM!O137="","",iferror(max(min(TTM!O137,0.5),-0.5),""))</f>
        <v>-0.5</v>
      </c>
      <c r="P137" s="14" t="str">
        <f>if(TTM!P137="","",iferror(max(min(TTM!P137,0.5),-0.5),""))</f>
        <v/>
      </c>
      <c r="Q137" s="14" t="str">
        <f>if(TTM!Q137="","",iferror(max(min(TTM!Q137,0.5),-0.5),""))</f>
        <v/>
      </c>
      <c r="R137" s="14"/>
      <c r="S137" s="14">
        <f>if(TTM!S137="","",iferror(max(min(TTM!S137,0.5),-0.5),""))</f>
        <v>-0.5</v>
      </c>
      <c r="T137" s="14" t="str">
        <f>if(TTM!T137="","",iferror(max(min(TTM!T137,0.5),-0.5),""))</f>
        <v/>
      </c>
      <c r="U137" s="14" t="str">
        <f>if(TTM!U137="","",iferror(max(min(TTM!U137,0.5),-0.5),""))</f>
        <v/>
      </c>
      <c r="V137" s="14">
        <f>if(TTM!V137="","",iferror(max(min(TTM!V137,0.5),-0.5),""))</f>
        <v>-0.5</v>
      </c>
      <c r="W137" s="14">
        <f>if(TTM!W137="","",iferror(max(min(TTM!W137,0.5),-0.5),""))</f>
        <v>-0.303678298</v>
      </c>
      <c r="X137" s="14">
        <f>if(TTM!X137="","",iferror(max(min(TTM!X137,0.5),-0.5),""))</f>
        <v>0.02262556968</v>
      </c>
      <c r="Y137" s="14" t="str">
        <f>if(TTM!Y137="","",iferror(max(min(TTM!Y137,0.5),-0.5),""))</f>
        <v/>
      </c>
      <c r="Z137" s="14" t="str">
        <f>if(TTM!Z137="","",iferror(max(min(TTM!Z137,0.5),-0.5),""))</f>
        <v/>
      </c>
      <c r="AA137" s="14" t="str">
        <f>if(TTM!AA137="","",iferror(max(min(TTM!AA137,0.5),-0.5),""))</f>
        <v/>
      </c>
      <c r="AB137" s="14" t="str">
        <f>if(TTM!AB137="","",iferror(max(min(TTM!AB137,0.5),-0.5),""))</f>
        <v/>
      </c>
      <c r="AC137" s="14" t="str">
        <f>if(TTM!AC137="","",iferror(max(min(TTM!AC137,0.5),-0.5),""))</f>
        <v/>
      </c>
      <c r="AD137" s="12"/>
    </row>
    <row r="138">
      <c r="A138" s="15" t="s">
        <v>51</v>
      </c>
      <c r="B138" s="14" t="str">
        <f>if(TTM!B138="","",iferror(max(min(TTM!B138,0.5),-0.5),""))</f>
        <v/>
      </c>
      <c r="C138" s="14">
        <f>if(TTM!C138="","",iferror(max(min(TTM!C138,0.5),-0.5),""))</f>
        <v>0.01416660145</v>
      </c>
      <c r="D138" s="14">
        <f>if(TTM!D138="","",iferror(max(min(TTM!D138,0.5),-0.5),""))</f>
        <v>0.05665440066</v>
      </c>
      <c r="E138" s="14">
        <f>if(TTM!E138="","",iferror(max(min(TTM!E138,0.5),-0.5),""))</f>
        <v>-0.05010487957</v>
      </c>
      <c r="F138" s="14" t="str">
        <f>if(TTM!F138="","",iferror(max(min(TTM!F138,0.5),-0.5),""))</f>
        <v/>
      </c>
      <c r="G138" s="14" t="str">
        <f>if(TTM!G138="","",iferror(max(min(TTM!G138,0.5),-0.5),""))</f>
        <v/>
      </c>
      <c r="H138" s="14" t="str">
        <f>if(TTM!H138="","",iferror(max(min(TTM!H138,0.5),-0.5),""))</f>
        <v/>
      </c>
      <c r="I138" s="14" t="str">
        <f>if(TTM!I138="","",iferror(max(min(TTM!I138,0.5),-0.5),""))</f>
        <v/>
      </c>
      <c r="J138" s="14" t="str">
        <f>if(TTM!J138="","",iferror(max(min(TTM!J138,0.5),-0.5),""))</f>
        <v/>
      </c>
      <c r="K138" s="14" t="str">
        <f>if(TTM!K138="","",iferror(max(min(TTM!K138,0.5),-0.5),""))</f>
        <v/>
      </c>
      <c r="L138" s="14" t="str">
        <f>if(TTM!L138="","",iferror(max(min(TTM!L138,0.5),-0.5),""))</f>
        <v/>
      </c>
      <c r="M138" s="14" t="str">
        <f>if(TTM!M138="","",iferror(max(min(TTM!M138,0.5),-0.5),""))</f>
        <v/>
      </c>
      <c r="N138" s="14" t="str">
        <f>if(TTM!N138="","",iferror(max(min(TTM!N138,0.5),-0.5),""))</f>
        <v/>
      </c>
      <c r="O138" s="14">
        <f>if(TTM!O138="","",iferror(max(min(TTM!O138,0.5),-0.5),""))</f>
        <v>-0.5</v>
      </c>
      <c r="P138" s="14" t="str">
        <f>if(TTM!P138="","",iferror(max(min(TTM!P138,0.5),-0.5),""))</f>
        <v/>
      </c>
      <c r="Q138" s="14" t="str">
        <f>if(TTM!Q138="","",iferror(max(min(TTM!Q138,0.5),-0.5),""))</f>
        <v/>
      </c>
      <c r="R138" s="14"/>
      <c r="S138" s="14">
        <f>if(TTM!S138="","",iferror(max(min(TTM!S138,0.5),-0.5),""))</f>
        <v>-0.5</v>
      </c>
      <c r="T138" s="14" t="str">
        <f>if(TTM!T138="","",iferror(max(min(TTM!T138,0.5),-0.5),""))</f>
        <v/>
      </c>
      <c r="U138" s="14" t="str">
        <f>if(TTM!U138="","",iferror(max(min(TTM!U138,0.5),-0.5),""))</f>
        <v/>
      </c>
      <c r="V138" s="14">
        <f>if(TTM!V138="","",iferror(max(min(TTM!V138,0.5),-0.5),""))</f>
        <v>-0.5</v>
      </c>
      <c r="W138" s="14">
        <f>if(TTM!W138="","",iferror(max(min(TTM!W138,0.5),-0.5),""))</f>
        <v>-0.303678298</v>
      </c>
      <c r="X138" s="14">
        <f>if(TTM!X138="","",iferror(max(min(TTM!X138,0.5),-0.5),""))</f>
        <v>0.02087821052</v>
      </c>
      <c r="Y138" s="14" t="str">
        <f>if(TTM!Y138="","",iferror(max(min(TTM!Y138,0.5),-0.5),""))</f>
        <v/>
      </c>
      <c r="Z138" s="14" t="str">
        <f>if(TTM!Z138="","",iferror(max(min(TTM!Z138,0.5),-0.5),""))</f>
        <v/>
      </c>
      <c r="AA138" s="14" t="str">
        <f>if(TTM!AA138="","",iferror(max(min(TTM!AA138,0.5),-0.5),""))</f>
        <v/>
      </c>
      <c r="AB138" s="14" t="str">
        <f>if(TTM!AB138="","",iferror(max(min(TTM!AB138,0.5),-0.5),""))</f>
        <v/>
      </c>
      <c r="AC138" s="14" t="str">
        <f>if(TTM!AC138="","",iferror(max(min(TTM!AC138,0.5),-0.5),""))</f>
        <v/>
      </c>
      <c r="AD138" s="12"/>
    </row>
    <row r="139">
      <c r="A139" s="15" t="s">
        <v>52</v>
      </c>
      <c r="B139" s="14" t="str">
        <f>if(TTM!B139="","",iferror(max(min(TTM!B139,0.5),-0.5),""))</f>
        <v/>
      </c>
      <c r="C139" s="14">
        <f>if(TTM!C139="","",iferror(max(min(TTM!C139,0.5),-0.5),""))</f>
        <v>0.01836960232</v>
      </c>
      <c r="D139" s="14">
        <f>if(TTM!D139="","",iferror(max(min(TTM!D139,0.5),-0.5),""))</f>
        <v>0.114180143</v>
      </c>
      <c r="E139" s="14">
        <f>if(TTM!E139="","",iferror(max(min(TTM!E139,0.5),-0.5),""))</f>
        <v>0.1108607461</v>
      </c>
      <c r="F139" s="14" t="str">
        <f>if(TTM!F139="","",iferror(max(min(TTM!F139,0.5),-0.5),""))</f>
        <v/>
      </c>
      <c r="G139" s="14" t="str">
        <f>if(TTM!G139="","",iferror(max(min(TTM!G139,0.5),-0.5),""))</f>
        <v/>
      </c>
      <c r="H139" s="14" t="str">
        <f>if(TTM!H139="","",iferror(max(min(TTM!H139,0.5),-0.5),""))</f>
        <v/>
      </c>
      <c r="I139" s="14" t="str">
        <f>if(TTM!I139="","",iferror(max(min(TTM!I139,0.5),-0.5),""))</f>
        <v/>
      </c>
      <c r="J139" s="14" t="str">
        <f>if(TTM!J139="","",iferror(max(min(TTM!J139,0.5),-0.5),""))</f>
        <v/>
      </c>
      <c r="K139" s="14" t="str">
        <f>if(TTM!K139="","",iferror(max(min(TTM!K139,0.5),-0.5),""))</f>
        <v/>
      </c>
      <c r="L139" s="14" t="str">
        <f>if(TTM!L139="","",iferror(max(min(TTM!L139,0.5),-0.5),""))</f>
        <v/>
      </c>
      <c r="M139" s="14" t="str">
        <f>if(TTM!M139="","",iferror(max(min(TTM!M139,0.5),-0.5),""))</f>
        <v/>
      </c>
      <c r="N139" s="14" t="str">
        <f>if(TTM!N139="","",iferror(max(min(TTM!N139,0.5),-0.5),""))</f>
        <v/>
      </c>
      <c r="O139" s="14">
        <f>if(TTM!O139="","",iferror(max(min(TTM!O139,0.5),-0.5),""))</f>
        <v>-0.5</v>
      </c>
      <c r="P139" s="14" t="str">
        <f>if(TTM!P139="","",iferror(max(min(TTM!P139,0.5),-0.5),""))</f>
        <v/>
      </c>
      <c r="Q139" s="14" t="str">
        <f>if(TTM!Q139="","",iferror(max(min(TTM!Q139,0.5),-0.5),""))</f>
        <v/>
      </c>
      <c r="R139" s="14"/>
      <c r="S139" s="14">
        <f>if(TTM!S139="","",iferror(max(min(TTM!S139,0.5),-0.5),""))</f>
        <v>-0.5</v>
      </c>
      <c r="T139" s="14" t="str">
        <f>if(TTM!T139="","",iferror(max(min(TTM!T139,0.5),-0.5),""))</f>
        <v/>
      </c>
      <c r="U139" s="14" t="str">
        <f>if(TTM!U139="","",iferror(max(min(TTM!U139,0.5),-0.5),""))</f>
        <v/>
      </c>
      <c r="V139" s="14">
        <f>if(TTM!V139="","",iferror(max(min(TTM!V139,0.5),-0.5),""))</f>
        <v>-0.5</v>
      </c>
      <c r="W139" s="14">
        <f>if(TTM!W139="","",iferror(max(min(TTM!W139,0.5),-0.5),""))</f>
        <v>-0.303678298</v>
      </c>
      <c r="X139" s="14">
        <f>if(TTM!X139="","",iferror(max(min(TTM!X139,0.5),-0.5),""))</f>
        <v>0.05437873497</v>
      </c>
      <c r="Y139" s="14" t="str">
        <f>if(TTM!Y139="","",iferror(max(min(TTM!Y139,0.5),-0.5),""))</f>
        <v/>
      </c>
      <c r="Z139" s="14" t="str">
        <f>if(TTM!Z139="","",iferror(max(min(TTM!Z139,0.5),-0.5),""))</f>
        <v/>
      </c>
      <c r="AA139" s="14" t="str">
        <f>if(TTM!AA139="","",iferror(max(min(TTM!AA139,0.5),-0.5),""))</f>
        <v/>
      </c>
      <c r="AB139" s="14" t="str">
        <f>if(TTM!AB139="","",iferror(max(min(TTM!AB139,0.5),-0.5),""))</f>
        <v/>
      </c>
      <c r="AC139" s="14" t="str">
        <f>if(TTM!AC139="","",iferror(max(min(TTM!AC139,0.5),-0.5),""))</f>
        <v/>
      </c>
      <c r="AD139" s="12"/>
    </row>
    <row r="140">
      <c r="A140" s="15" t="s">
        <v>53</v>
      </c>
      <c r="B140" s="14" t="str">
        <f>if(TTM!B140="","",iferror(max(min(TTM!B140,0.5),-0.5),""))</f>
        <v/>
      </c>
      <c r="C140" s="14">
        <f>if(TTM!C140="","",iferror(max(min(TTM!C140,0.5),-0.5),""))</f>
        <v>0.02257260319</v>
      </c>
      <c r="D140" s="14">
        <f>if(TTM!D140="","",iferror(max(min(TTM!D140,0.5),-0.5),""))</f>
        <v>0.1717058853</v>
      </c>
      <c r="E140" s="14">
        <f>if(TTM!E140="","",iferror(max(min(TTM!E140,0.5),-0.5),""))</f>
        <v>0.2718263718</v>
      </c>
      <c r="F140" s="14" t="str">
        <f>if(TTM!F140="","",iferror(max(min(TTM!F140,0.5),-0.5),""))</f>
        <v/>
      </c>
      <c r="G140" s="14" t="str">
        <f>if(TTM!G140="","",iferror(max(min(TTM!G140,0.5),-0.5),""))</f>
        <v/>
      </c>
      <c r="H140" s="14" t="str">
        <f>if(TTM!H140="","",iferror(max(min(TTM!H140,0.5),-0.5),""))</f>
        <v/>
      </c>
      <c r="I140" s="14" t="str">
        <f>if(TTM!I140="","",iferror(max(min(TTM!I140,0.5),-0.5),""))</f>
        <v/>
      </c>
      <c r="J140" s="14" t="str">
        <f>if(TTM!J140="","",iferror(max(min(TTM!J140,0.5),-0.5),""))</f>
        <v/>
      </c>
      <c r="K140" s="14" t="str">
        <f>if(TTM!K140="","",iferror(max(min(TTM!K140,0.5),-0.5),""))</f>
        <v/>
      </c>
      <c r="L140" s="14" t="str">
        <f>if(TTM!L140="","",iferror(max(min(TTM!L140,0.5),-0.5),""))</f>
        <v/>
      </c>
      <c r="M140" s="14" t="str">
        <f>if(TTM!M140="","",iferror(max(min(TTM!M140,0.5),-0.5),""))</f>
        <v/>
      </c>
      <c r="N140" s="14" t="str">
        <f>if(TTM!N140="","",iferror(max(min(TTM!N140,0.5),-0.5),""))</f>
        <v/>
      </c>
      <c r="O140" s="14">
        <f>if(TTM!O140="","",iferror(max(min(TTM!O140,0.5),-0.5),""))</f>
        <v>-0.5</v>
      </c>
      <c r="P140" s="14" t="str">
        <f>if(TTM!P140="","",iferror(max(min(TTM!P140,0.5),-0.5),""))</f>
        <v/>
      </c>
      <c r="Q140" s="14" t="str">
        <f>if(TTM!Q140="","",iferror(max(min(TTM!Q140,0.5),-0.5),""))</f>
        <v/>
      </c>
      <c r="R140" s="14"/>
      <c r="S140" s="14">
        <f>if(TTM!S140="","",iferror(max(min(TTM!S140,0.5),-0.5),""))</f>
        <v>-0.2099786407</v>
      </c>
      <c r="T140" s="14" t="str">
        <f>if(TTM!T140="","",iferror(max(min(TTM!T140,0.5),-0.5),""))</f>
        <v/>
      </c>
      <c r="U140" s="14" t="str">
        <f>if(TTM!U140="","",iferror(max(min(TTM!U140,0.5),-0.5),""))</f>
        <v/>
      </c>
      <c r="V140" s="14">
        <f>if(TTM!V140="","",iferror(max(min(TTM!V140,0.5),-0.5),""))</f>
        <v>-0.1018460487</v>
      </c>
      <c r="W140" s="14" t="str">
        <f>if(TTM!W140="","",iferror(max(min(TTM!W140,0.5),-0.5),""))</f>
        <v/>
      </c>
      <c r="X140" s="14">
        <f>if(TTM!X140="","",iferror(max(min(TTM!X140,0.5),-0.5),""))</f>
        <v>0.08787925941</v>
      </c>
      <c r="Y140" s="14" t="str">
        <f>if(TTM!Y140="","",iferror(max(min(TTM!Y140,0.5),-0.5),""))</f>
        <v/>
      </c>
      <c r="Z140" s="14" t="str">
        <f>if(TTM!Z140="","",iferror(max(min(TTM!Z140,0.5),-0.5),""))</f>
        <v/>
      </c>
      <c r="AA140" s="14" t="str">
        <f>if(TTM!AA140="","",iferror(max(min(TTM!AA140,0.5),-0.5),""))</f>
        <v/>
      </c>
      <c r="AB140" s="14" t="str">
        <f>if(TTM!AB140="","",iferror(max(min(TTM!AB140,0.5),-0.5),""))</f>
        <v/>
      </c>
      <c r="AC140" s="14" t="str">
        <f>if(TTM!AC140="","",iferror(max(min(TTM!AC140,0.5),-0.5),""))</f>
        <v/>
      </c>
      <c r="AD140" s="12"/>
    </row>
    <row r="141">
      <c r="A141" s="15" t="s">
        <v>54</v>
      </c>
      <c r="B141" s="14" t="str">
        <f>if(TTM!B141="","",iferror(max(min(TTM!B141,0.5),-0.5),""))</f>
        <v/>
      </c>
      <c r="C141" s="14">
        <f>if(TTM!C141="","",iferror(max(min(TTM!C141,0.5),-0.5),""))</f>
        <v>0.02445642189</v>
      </c>
      <c r="D141" s="14">
        <f>if(TTM!D141="","",iferror(max(min(TTM!D141,0.5),-0.5),""))</f>
        <v>0.167887988</v>
      </c>
      <c r="E141" s="14">
        <f>if(TTM!E141="","",iferror(max(min(TTM!E141,0.5),-0.5),""))</f>
        <v>0.2938163774</v>
      </c>
      <c r="F141" s="14" t="str">
        <f>if(TTM!F141="","",iferror(max(min(TTM!F141,0.5),-0.5),""))</f>
        <v/>
      </c>
      <c r="G141" s="14" t="str">
        <f>if(TTM!G141="","",iferror(max(min(TTM!G141,0.5),-0.5),""))</f>
        <v/>
      </c>
      <c r="H141" s="14" t="str">
        <f>if(TTM!H141="","",iferror(max(min(TTM!H141,0.5),-0.5),""))</f>
        <v/>
      </c>
      <c r="I141" s="14" t="str">
        <f>if(TTM!I141="","",iferror(max(min(TTM!I141,0.5),-0.5),""))</f>
        <v/>
      </c>
      <c r="J141" s="14" t="str">
        <f>if(TTM!J141="","",iferror(max(min(TTM!J141,0.5),-0.5),""))</f>
        <v/>
      </c>
      <c r="K141" s="14" t="str">
        <f>if(TTM!K141="","",iferror(max(min(TTM!K141,0.5),-0.5),""))</f>
        <v/>
      </c>
      <c r="L141" s="14" t="str">
        <f>if(TTM!L141="","",iferror(max(min(TTM!L141,0.5),-0.5),""))</f>
        <v/>
      </c>
      <c r="M141" s="14" t="str">
        <f>if(TTM!M141="","",iferror(max(min(TTM!M141,0.5),-0.5),""))</f>
        <v/>
      </c>
      <c r="N141" s="14" t="str">
        <f>if(TTM!N141="","",iferror(max(min(TTM!N141,0.5),-0.5),""))</f>
        <v/>
      </c>
      <c r="O141" s="14">
        <f>if(TTM!O141="","",iferror(max(min(TTM!O141,0.5),-0.5),""))</f>
        <v>-0.5</v>
      </c>
      <c r="P141" s="14" t="str">
        <f>if(TTM!P141="","",iferror(max(min(TTM!P141,0.5),-0.5),""))</f>
        <v/>
      </c>
      <c r="Q141" s="14" t="str">
        <f>if(TTM!Q141="","",iferror(max(min(TTM!Q141,0.5),-0.5),""))</f>
        <v/>
      </c>
      <c r="R141" s="14"/>
      <c r="S141" s="14">
        <f>if(TTM!S141="","",iferror(max(min(TTM!S141,0.5),-0.5),""))</f>
        <v>-0.2207905435</v>
      </c>
      <c r="T141" s="14" t="str">
        <f>if(TTM!T141="","",iferror(max(min(TTM!T141,0.5),-0.5),""))</f>
        <v/>
      </c>
      <c r="U141" s="14" t="str">
        <f>if(TTM!U141="","",iferror(max(min(TTM!U141,0.5),-0.5),""))</f>
        <v/>
      </c>
      <c r="V141" s="14">
        <f>if(TTM!V141="","",iferror(max(min(TTM!V141,0.5),-0.5),""))</f>
        <v>-0.09295437606</v>
      </c>
      <c r="W141" s="14" t="str">
        <f>if(TTM!W141="","",iferror(max(min(TTM!W141,0.5),-0.5),""))</f>
        <v/>
      </c>
      <c r="X141" s="14">
        <f>if(TTM!X141="","",iferror(max(min(TTM!X141,0.5),-0.5),""))</f>
        <v>0.1213797839</v>
      </c>
      <c r="Y141" s="14" t="str">
        <f>if(TTM!Y141="","",iferror(max(min(TTM!Y141,0.5),-0.5),""))</f>
        <v/>
      </c>
      <c r="Z141" s="14" t="str">
        <f>if(TTM!Z141="","",iferror(max(min(TTM!Z141,0.5),-0.5),""))</f>
        <v/>
      </c>
      <c r="AA141" s="14" t="str">
        <f>if(TTM!AA141="","",iferror(max(min(TTM!AA141,0.5),-0.5),""))</f>
        <v/>
      </c>
      <c r="AB141" s="14" t="str">
        <f>if(TTM!AB141="","",iferror(max(min(TTM!AB141,0.5),-0.5),""))</f>
        <v/>
      </c>
      <c r="AC141" s="14" t="str">
        <f>if(TTM!AC141="","",iferror(max(min(TTM!AC141,0.5),-0.5),""))</f>
        <v/>
      </c>
      <c r="AD141" s="12"/>
    </row>
    <row r="142">
      <c r="A142" s="15" t="s">
        <v>55</v>
      </c>
      <c r="B142" s="14" t="str">
        <f>if(TTM!B142="","",iferror(max(min(TTM!B142,0.5),-0.5),""))</f>
        <v/>
      </c>
      <c r="C142" s="14">
        <f>if(TTM!C142="","",iferror(max(min(TTM!C142,0.5),-0.5),""))</f>
        <v>0.02634024058</v>
      </c>
      <c r="D142" s="14">
        <f>if(TTM!D142="","",iferror(max(min(TTM!D142,0.5),-0.5),""))</f>
        <v>0.1640700908</v>
      </c>
      <c r="E142" s="14">
        <f>if(TTM!E142="","",iferror(max(min(TTM!E142,0.5),-0.5),""))</f>
        <v>0.315806383</v>
      </c>
      <c r="F142" s="14" t="str">
        <f>if(TTM!F142="","",iferror(max(min(TTM!F142,0.5),-0.5),""))</f>
        <v/>
      </c>
      <c r="G142" s="14" t="str">
        <f>if(TTM!G142="","",iferror(max(min(TTM!G142,0.5),-0.5),""))</f>
        <v/>
      </c>
      <c r="H142" s="14" t="str">
        <f>if(TTM!H142="","",iferror(max(min(TTM!H142,0.5),-0.5),""))</f>
        <v/>
      </c>
      <c r="I142" s="14" t="str">
        <f>if(TTM!I142="","",iferror(max(min(TTM!I142,0.5),-0.5),""))</f>
        <v/>
      </c>
      <c r="J142" s="14" t="str">
        <f>if(TTM!J142="","",iferror(max(min(TTM!J142,0.5),-0.5),""))</f>
        <v/>
      </c>
      <c r="K142" s="14" t="str">
        <f>if(TTM!K142="","",iferror(max(min(TTM!K142,0.5),-0.5),""))</f>
        <v/>
      </c>
      <c r="L142" s="14" t="str">
        <f>if(TTM!L142="","",iferror(max(min(TTM!L142,0.5),-0.5),""))</f>
        <v/>
      </c>
      <c r="M142" s="14" t="str">
        <f>if(TTM!M142="","",iferror(max(min(TTM!M142,0.5),-0.5),""))</f>
        <v/>
      </c>
      <c r="N142" s="14" t="str">
        <f>if(TTM!N142="","",iferror(max(min(TTM!N142,0.5),-0.5),""))</f>
        <v/>
      </c>
      <c r="O142" s="14">
        <f>if(TTM!O142="","",iferror(max(min(TTM!O142,0.5),-0.5),""))</f>
        <v>-0.4621212121</v>
      </c>
      <c r="P142" s="14" t="str">
        <f>if(TTM!P142="","",iferror(max(min(TTM!P142,0.5),-0.5),""))</f>
        <v/>
      </c>
      <c r="Q142" s="14" t="str">
        <f>if(TTM!Q142="","",iferror(max(min(TTM!Q142,0.5),-0.5),""))</f>
        <v/>
      </c>
      <c r="R142" s="14"/>
      <c r="S142" s="14">
        <f>if(TTM!S142="","",iferror(max(min(TTM!S142,0.5),-0.5),""))</f>
        <v>-0.2316024463</v>
      </c>
      <c r="T142" s="14" t="str">
        <f>if(TTM!T142="","",iferror(max(min(TTM!T142,0.5),-0.5),""))</f>
        <v/>
      </c>
      <c r="U142" s="14" t="str">
        <f>if(TTM!U142="","",iferror(max(min(TTM!U142,0.5),-0.5),""))</f>
        <v/>
      </c>
      <c r="V142" s="14">
        <f>if(TTM!V142="","",iferror(max(min(TTM!V142,0.5),-0.5),""))</f>
        <v>-0.08406270346</v>
      </c>
      <c r="W142" s="14" t="str">
        <f>if(TTM!W142="","",iferror(max(min(TTM!W142,0.5),-0.5),""))</f>
        <v/>
      </c>
      <c r="X142" s="14">
        <f>if(TTM!X142="","",iferror(max(min(TTM!X142,0.5),-0.5),""))</f>
        <v>0.1548803083</v>
      </c>
      <c r="Y142" s="14" t="str">
        <f>if(TTM!Y142="","",iferror(max(min(TTM!Y142,0.5),-0.5),""))</f>
        <v/>
      </c>
      <c r="Z142" s="14" t="str">
        <f>if(TTM!Z142="","",iferror(max(min(TTM!Z142,0.5),-0.5),""))</f>
        <v/>
      </c>
      <c r="AA142" s="14" t="str">
        <f>if(TTM!AA142="","",iferror(max(min(TTM!AA142,0.5),-0.5),""))</f>
        <v/>
      </c>
      <c r="AB142" s="14" t="str">
        <f>if(TTM!AB142="","",iferror(max(min(TTM!AB142,0.5),-0.5),""))</f>
        <v/>
      </c>
      <c r="AC142" s="14" t="str">
        <f>if(TTM!AC142="","",iferror(max(min(TTM!AC142,0.5),-0.5),""))</f>
        <v/>
      </c>
      <c r="AD142" s="12"/>
    </row>
    <row r="143">
      <c r="A143" s="15" t="s">
        <v>56</v>
      </c>
      <c r="B143" s="14" t="str">
        <f>if(TTM!B143="","",iferror(max(min(TTM!B143,0.5),-0.5),""))</f>
        <v/>
      </c>
      <c r="C143" s="14">
        <f>if(TTM!C143="","",iferror(max(min(TTM!C143,0.5),-0.5),""))</f>
        <v>0.02822405928</v>
      </c>
      <c r="D143" s="14">
        <f>if(TTM!D143="","",iferror(max(min(TTM!D143,0.5),-0.5),""))</f>
        <v>0.1602521935</v>
      </c>
      <c r="E143" s="14">
        <f>if(TTM!E143="","",iferror(max(min(TTM!E143,0.5),-0.5),""))</f>
        <v>0.3377963886</v>
      </c>
      <c r="F143" s="14" t="str">
        <f>if(TTM!F143="","",iferror(max(min(TTM!F143,0.5),-0.5),""))</f>
        <v/>
      </c>
      <c r="G143" s="14" t="str">
        <f>if(TTM!G143="","",iferror(max(min(TTM!G143,0.5),-0.5),""))</f>
        <v/>
      </c>
      <c r="H143" s="14" t="str">
        <f>if(TTM!H143="","",iferror(max(min(TTM!H143,0.5),-0.5),""))</f>
        <v/>
      </c>
      <c r="I143" s="14" t="str">
        <f>if(TTM!I143="","",iferror(max(min(TTM!I143,0.5),-0.5),""))</f>
        <v/>
      </c>
      <c r="J143" s="14" t="str">
        <f>if(TTM!J143="","",iferror(max(min(TTM!J143,0.5),-0.5),""))</f>
        <v/>
      </c>
      <c r="K143" s="14" t="str">
        <f>if(TTM!K143="","",iferror(max(min(TTM!K143,0.5),-0.5),""))</f>
        <v/>
      </c>
      <c r="L143" s="14" t="str">
        <f>if(TTM!L143="","",iferror(max(min(TTM!L143,0.5),-0.5),""))</f>
        <v/>
      </c>
      <c r="M143" s="14" t="str">
        <f>if(TTM!M143="","",iferror(max(min(TTM!M143,0.5),-0.5),""))</f>
        <v/>
      </c>
      <c r="N143" s="14" t="str">
        <f>if(TTM!N143="","",iferror(max(min(TTM!N143,0.5),-0.5),""))</f>
        <v/>
      </c>
      <c r="O143" s="14">
        <f>if(TTM!O143="","",iferror(max(min(TTM!O143,0.5),-0.5),""))</f>
        <v>-0.5</v>
      </c>
      <c r="P143" s="14" t="str">
        <f>if(TTM!P143="","",iferror(max(min(TTM!P143,0.5),-0.5),""))</f>
        <v/>
      </c>
      <c r="Q143" s="14" t="str">
        <f>if(TTM!Q143="","",iferror(max(min(TTM!Q143,0.5),-0.5),""))</f>
        <v/>
      </c>
      <c r="R143" s="14"/>
      <c r="S143" s="14">
        <f>if(TTM!S143="","",iferror(max(min(TTM!S143,0.5),-0.5),""))</f>
        <v>-0.2424143492</v>
      </c>
      <c r="T143" s="14" t="str">
        <f>if(TTM!T143="","",iferror(max(min(TTM!T143,0.5),-0.5),""))</f>
        <v/>
      </c>
      <c r="U143" s="14" t="str">
        <f>if(TTM!U143="","",iferror(max(min(TTM!U143,0.5),-0.5),""))</f>
        <v/>
      </c>
      <c r="V143" s="14">
        <f>if(TTM!V143="","",iferror(max(min(TTM!V143,0.5),-0.5),""))</f>
        <v>-0.07517103085</v>
      </c>
      <c r="W143" s="14" t="str">
        <f>if(TTM!W143="","",iferror(max(min(TTM!W143,0.5),-0.5),""))</f>
        <v/>
      </c>
      <c r="X143" s="14">
        <f>if(TTM!X143="","",iferror(max(min(TTM!X143,0.5),-0.5),""))</f>
        <v>0.1552297996</v>
      </c>
      <c r="Y143" s="14" t="str">
        <f>if(TTM!Y143="","",iferror(max(min(TTM!Y143,0.5),-0.5),""))</f>
        <v/>
      </c>
      <c r="Z143" s="14" t="str">
        <f>if(TTM!Z143="","",iferror(max(min(TTM!Z143,0.5),-0.5),""))</f>
        <v/>
      </c>
      <c r="AA143" s="14" t="str">
        <f>if(TTM!AA143="","",iferror(max(min(TTM!AA143,0.5),-0.5),""))</f>
        <v/>
      </c>
      <c r="AB143" s="14" t="str">
        <f>if(TTM!AB143="","",iferror(max(min(TTM!AB143,0.5),-0.5),""))</f>
        <v/>
      </c>
      <c r="AC143" s="14" t="str">
        <f>if(TTM!AC143="","",iferror(max(min(TTM!AC143,0.5),-0.5),""))</f>
        <v/>
      </c>
      <c r="AD143" s="12"/>
    </row>
    <row r="144">
      <c r="A144" s="15" t="s">
        <v>57</v>
      </c>
      <c r="B144" s="14" t="str">
        <f>if(TTM!B144="","",iferror(max(min(TTM!B144,0.5),-0.5),""))</f>
        <v/>
      </c>
      <c r="C144" s="14">
        <f>if(TTM!C144="","",iferror(max(min(TTM!C144,0.5),-0.5),""))</f>
        <v>0.03010787798</v>
      </c>
      <c r="D144" s="14">
        <f>if(TTM!D144="","",iferror(max(min(TTM!D144,0.5),-0.5),""))</f>
        <v>0.1564342962</v>
      </c>
      <c r="E144" s="14">
        <f>if(TTM!E144="","",iferror(max(min(TTM!E144,0.5),-0.5),""))</f>
        <v>0.3597863942</v>
      </c>
      <c r="F144" s="14" t="str">
        <f>if(TTM!F144="","",iferror(max(min(TTM!F144,0.5),-0.5),""))</f>
        <v/>
      </c>
      <c r="G144" s="14" t="str">
        <f>if(TTM!G144="","",iferror(max(min(TTM!G144,0.5),-0.5),""))</f>
        <v/>
      </c>
      <c r="H144" s="14" t="str">
        <f>if(TTM!H144="","",iferror(max(min(TTM!H144,0.5),-0.5),""))</f>
        <v/>
      </c>
      <c r="I144" s="14" t="str">
        <f>if(TTM!I144="","",iferror(max(min(TTM!I144,0.5),-0.5),""))</f>
        <v/>
      </c>
      <c r="J144" s="14" t="str">
        <f>if(TTM!J144="","",iferror(max(min(TTM!J144,0.5),-0.5),""))</f>
        <v/>
      </c>
      <c r="K144" s="14" t="str">
        <f>if(TTM!K144="","",iferror(max(min(TTM!K144,0.5),-0.5),""))</f>
        <v/>
      </c>
      <c r="L144" s="14" t="str">
        <f>if(TTM!L144="","",iferror(max(min(TTM!L144,0.5),-0.5),""))</f>
        <v/>
      </c>
      <c r="M144" s="14" t="str">
        <f>if(TTM!M144="","",iferror(max(min(TTM!M144,0.5),-0.5),""))</f>
        <v/>
      </c>
      <c r="N144" s="14" t="str">
        <f>if(TTM!N144="","",iferror(max(min(TTM!N144,0.5),-0.5),""))</f>
        <v/>
      </c>
      <c r="O144" s="14">
        <f>if(TTM!O144="","",iferror(max(min(TTM!O144,0.5),-0.5),""))</f>
        <v>-0.5</v>
      </c>
      <c r="P144" s="14" t="str">
        <f>if(TTM!P144="","",iferror(max(min(TTM!P144,0.5),-0.5),""))</f>
        <v/>
      </c>
      <c r="Q144" s="14" t="str">
        <f>if(TTM!Q144="","",iferror(max(min(TTM!Q144,0.5),-0.5),""))</f>
        <v/>
      </c>
      <c r="R144" s="14"/>
      <c r="S144" s="14">
        <f>if(TTM!S144="","",iferror(max(min(TTM!S144,0.5),-0.5),""))</f>
        <v>-0.253226252</v>
      </c>
      <c r="T144" s="14" t="str">
        <f>if(TTM!T144="","",iferror(max(min(TTM!T144,0.5),-0.5),""))</f>
        <v/>
      </c>
      <c r="U144" s="14" t="str">
        <f>if(TTM!U144="","",iferror(max(min(TTM!U144,0.5),-0.5),""))</f>
        <v/>
      </c>
      <c r="V144" s="14">
        <f>if(TTM!V144="","",iferror(max(min(TTM!V144,0.5),-0.5),""))</f>
        <v>-0.06627935825</v>
      </c>
      <c r="W144" s="14" t="str">
        <f>if(TTM!W144="","",iferror(max(min(TTM!W144,0.5),-0.5),""))</f>
        <v/>
      </c>
      <c r="X144" s="14">
        <f>if(TTM!X144="","",iferror(max(min(TTM!X144,0.5),-0.5),""))</f>
        <v>0.1555792909</v>
      </c>
      <c r="Y144" s="14" t="str">
        <f>if(TTM!Y144="","",iferror(max(min(TTM!Y144,0.5),-0.5),""))</f>
        <v/>
      </c>
      <c r="Z144" s="14" t="str">
        <f>if(TTM!Z144="","",iferror(max(min(TTM!Z144,0.5),-0.5),""))</f>
        <v/>
      </c>
      <c r="AA144" s="14" t="str">
        <f>if(TTM!AA144="","",iferror(max(min(TTM!AA144,0.5),-0.5),""))</f>
        <v/>
      </c>
      <c r="AB144" s="14" t="str">
        <f>if(TTM!AB144="","",iferror(max(min(TTM!AB144,0.5),-0.5),""))</f>
        <v/>
      </c>
      <c r="AC144" s="14" t="str">
        <f>if(TTM!AC144="","",iferror(max(min(TTM!AC144,0.5),-0.5),""))</f>
        <v/>
      </c>
      <c r="AD144" s="12"/>
    </row>
    <row r="145">
      <c r="A145" s="15" t="s">
        <v>58</v>
      </c>
      <c r="B145" s="14" t="str">
        <f>if(TTM!B145="","",iferror(max(min(TTM!B145,0.5),-0.5),""))</f>
        <v/>
      </c>
      <c r="C145" s="14">
        <f>if(TTM!C145="","",iferror(max(min(TTM!C145,0.5),-0.5),""))</f>
        <v>0.03482947909</v>
      </c>
      <c r="D145" s="14">
        <f>if(TTM!D145="","",iferror(max(min(TTM!D145,0.5),-0.5),""))</f>
        <v>0.1728909841</v>
      </c>
      <c r="E145" s="14">
        <f>if(TTM!E145="","",iferror(max(min(TTM!E145,0.5),-0.5),""))</f>
        <v>0.3737714865</v>
      </c>
      <c r="F145" s="14" t="str">
        <f>if(TTM!F145="","",iferror(max(min(TTM!F145,0.5),-0.5),""))</f>
        <v/>
      </c>
      <c r="G145" s="14" t="str">
        <f>if(TTM!G145="","",iferror(max(min(TTM!G145,0.5),-0.5),""))</f>
        <v/>
      </c>
      <c r="H145" s="14" t="str">
        <f>if(TTM!H145="","",iferror(max(min(TTM!H145,0.5),-0.5),""))</f>
        <v/>
      </c>
      <c r="I145" s="14" t="str">
        <f>if(TTM!I145="","",iferror(max(min(TTM!I145,0.5),-0.5),""))</f>
        <v/>
      </c>
      <c r="J145" s="14" t="str">
        <f>if(TTM!J145="","",iferror(max(min(TTM!J145,0.5),-0.5),""))</f>
        <v/>
      </c>
      <c r="K145" s="14" t="str">
        <f>if(TTM!K145="","",iferror(max(min(TTM!K145,0.5),-0.5),""))</f>
        <v/>
      </c>
      <c r="L145" s="14" t="str">
        <f>if(TTM!L145="","",iferror(max(min(TTM!L145,0.5),-0.5),""))</f>
        <v/>
      </c>
      <c r="M145" s="14" t="str">
        <f>if(TTM!M145="","",iferror(max(min(TTM!M145,0.5),-0.5),""))</f>
        <v/>
      </c>
      <c r="N145" s="14" t="str">
        <f>if(TTM!N145="","",iferror(max(min(TTM!N145,0.5),-0.5),""))</f>
        <v/>
      </c>
      <c r="O145" s="14">
        <f>if(TTM!O145="","",iferror(max(min(TTM!O145,0.5),-0.5),""))</f>
        <v>-0.5</v>
      </c>
      <c r="P145" s="14" t="str">
        <f>if(TTM!P145="","",iferror(max(min(TTM!P145,0.5),-0.5),""))</f>
        <v/>
      </c>
      <c r="Q145" s="14" t="str">
        <f>if(TTM!Q145="","",iferror(max(min(TTM!Q145,0.5),-0.5),""))</f>
        <v/>
      </c>
      <c r="R145" s="14"/>
      <c r="S145" s="14">
        <f>if(TTM!S145="","",iferror(max(min(TTM!S145,0.5),-0.5),""))</f>
        <v>-0.253226252</v>
      </c>
      <c r="T145" s="14" t="str">
        <f>if(TTM!T145="","",iferror(max(min(TTM!T145,0.5),-0.5),""))</f>
        <v/>
      </c>
      <c r="U145" s="14" t="str">
        <f>if(TTM!U145="","",iferror(max(min(TTM!U145,0.5),-0.5),""))</f>
        <v/>
      </c>
      <c r="V145" s="14">
        <f>if(TTM!V145="","",iferror(max(min(TTM!V145,0.5),-0.5),""))</f>
        <v>-0.1111849285</v>
      </c>
      <c r="W145" s="14" t="str">
        <f>if(TTM!W145="","",iferror(max(min(TTM!W145,0.5),-0.5),""))</f>
        <v/>
      </c>
      <c r="X145" s="14">
        <f>if(TTM!X145="","",iferror(max(min(TTM!X145,0.5),-0.5),""))</f>
        <v>0.1559287822</v>
      </c>
      <c r="Y145" s="14" t="str">
        <f>if(TTM!Y145="","",iferror(max(min(TTM!Y145,0.5),-0.5),""))</f>
        <v/>
      </c>
      <c r="Z145" s="14" t="str">
        <f>if(TTM!Z145="","",iferror(max(min(TTM!Z145,0.5),-0.5),""))</f>
        <v/>
      </c>
      <c r="AA145" s="14" t="str">
        <f>if(TTM!AA145="","",iferror(max(min(TTM!AA145,0.5),-0.5),""))</f>
        <v/>
      </c>
      <c r="AB145" s="14" t="str">
        <f>if(TTM!AB145="","",iferror(max(min(TTM!AB145,0.5),-0.5),""))</f>
        <v/>
      </c>
      <c r="AC145" s="14" t="str">
        <f>if(TTM!AC145="","",iferror(max(min(TTM!AC145,0.5),-0.5),""))</f>
        <v/>
      </c>
      <c r="AD145" s="12"/>
    </row>
    <row r="146">
      <c r="A146" s="15" t="s">
        <v>59</v>
      </c>
      <c r="B146" s="14" t="str">
        <f>if(TTM!B146="","",iferror(max(min(TTM!B146,0.5),-0.5),""))</f>
        <v/>
      </c>
      <c r="C146" s="14">
        <f>if(TTM!C146="","",iferror(max(min(TTM!C146,0.5),-0.5),""))</f>
        <v>0.03955108019</v>
      </c>
      <c r="D146" s="14">
        <f>if(TTM!D146="","",iferror(max(min(TTM!D146,0.5),-0.5),""))</f>
        <v>0.1893476719</v>
      </c>
      <c r="E146" s="14">
        <f>if(TTM!E146="","",iferror(max(min(TTM!E146,0.5),-0.5),""))</f>
        <v>0.3877565788</v>
      </c>
      <c r="F146" s="14" t="str">
        <f>if(TTM!F146="","",iferror(max(min(TTM!F146,0.5),-0.5),""))</f>
        <v/>
      </c>
      <c r="G146" s="14" t="str">
        <f>if(TTM!G146="","",iferror(max(min(TTM!G146,0.5),-0.5),""))</f>
        <v/>
      </c>
      <c r="H146" s="14" t="str">
        <f>if(TTM!H146="","",iferror(max(min(TTM!H146,0.5),-0.5),""))</f>
        <v/>
      </c>
      <c r="I146" s="14" t="str">
        <f>if(TTM!I146="","",iferror(max(min(TTM!I146,0.5),-0.5),""))</f>
        <v/>
      </c>
      <c r="J146" s="14" t="str">
        <f>if(TTM!J146="","",iferror(max(min(TTM!J146,0.5),-0.5),""))</f>
        <v/>
      </c>
      <c r="K146" s="14" t="str">
        <f>if(TTM!K146="","",iferror(max(min(TTM!K146,0.5),-0.5),""))</f>
        <v/>
      </c>
      <c r="L146" s="14" t="str">
        <f>if(TTM!L146="","",iferror(max(min(TTM!L146,0.5),-0.5),""))</f>
        <v/>
      </c>
      <c r="M146" s="14" t="str">
        <f>if(TTM!M146="","",iferror(max(min(TTM!M146,0.5),-0.5),""))</f>
        <v/>
      </c>
      <c r="N146" s="14" t="str">
        <f>if(TTM!N146="","",iferror(max(min(TTM!N146,0.5),-0.5),""))</f>
        <v/>
      </c>
      <c r="O146" s="14">
        <f>if(TTM!O146="","",iferror(max(min(TTM!O146,0.5),-0.5),""))</f>
        <v>-0.5</v>
      </c>
      <c r="P146" s="14" t="str">
        <f>if(TTM!P146="","",iferror(max(min(TTM!P146,0.5),-0.5),""))</f>
        <v/>
      </c>
      <c r="Q146" s="14" t="str">
        <f>if(TTM!Q146="","",iferror(max(min(TTM!Q146,0.5),-0.5),""))</f>
        <v/>
      </c>
      <c r="R146" s="14"/>
      <c r="S146" s="14">
        <f>if(TTM!S146="","",iferror(max(min(TTM!S146,0.5),-0.5),""))</f>
        <v>-0.253226252</v>
      </c>
      <c r="T146" s="14" t="str">
        <f>if(TTM!T146="","",iferror(max(min(TTM!T146,0.5),-0.5),""))</f>
        <v/>
      </c>
      <c r="U146" s="14" t="str">
        <f>if(TTM!U146="","",iferror(max(min(TTM!U146,0.5),-0.5),""))</f>
        <v/>
      </c>
      <c r="V146" s="14">
        <f>if(TTM!V146="","",iferror(max(min(TTM!V146,0.5),-0.5),""))</f>
        <v>-0.1560904988</v>
      </c>
      <c r="W146" s="14" t="str">
        <f>if(TTM!W146="","",iferror(max(min(TTM!W146,0.5),-0.5),""))</f>
        <v/>
      </c>
      <c r="X146" s="14">
        <f>if(TTM!X146="","",iferror(max(min(TTM!X146,0.5),-0.5),""))</f>
        <v>0.1562782734</v>
      </c>
      <c r="Y146" s="14" t="str">
        <f>if(TTM!Y146="","",iferror(max(min(TTM!Y146,0.5),-0.5),""))</f>
        <v/>
      </c>
      <c r="Z146" s="14" t="str">
        <f>if(TTM!Z146="","",iferror(max(min(TTM!Z146,0.5),-0.5),""))</f>
        <v/>
      </c>
      <c r="AA146" s="14" t="str">
        <f>if(TTM!AA146="","",iferror(max(min(TTM!AA146,0.5),-0.5),""))</f>
        <v/>
      </c>
      <c r="AB146" s="14" t="str">
        <f>if(TTM!AB146="","",iferror(max(min(TTM!AB146,0.5),-0.5),""))</f>
        <v/>
      </c>
      <c r="AC146" s="14" t="str">
        <f>if(TTM!AC146="","",iferror(max(min(TTM!AC146,0.5),-0.5),""))</f>
        <v/>
      </c>
      <c r="AD146" s="12"/>
    </row>
    <row r="147">
      <c r="A147" s="15" t="s">
        <v>60</v>
      </c>
      <c r="B147" s="14" t="str">
        <f>if(TTM!B147="","",iferror(max(min(TTM!B147,0.5),-0.5),""))</f>
        <v/>
      </c>
      <c r="C147" s="14">
        <f>if(TTM!C147="","",iferror(max(min(TTM!C147,0.5),-0.5),""))</f>
        <v>0.0442726813</v>
      </c>
      <c r="D147" s="14">
        <f>if(TTM!D147="","",iferror(max(min(TTM!D147,0.5),-0.5),""))</f>
        <v>0.2058043597</v>
      </c>
      <c r="E147" s="14">
        <f>if(TTM!E147="","",iferror(max(min(TTM!E147,0.5),-0.5),""))</f>
        <v>0.4017416711</v>
      </c>
      <c r="F147" s="14" t="str">
        <f>if(TTM!F147="","",iferror(max(min(TTM!F147,0.5),-0.5),""))</f>
        <v/>
      </c>
      <c r="G147" s="14" t="str">
        <f>if(TTM!G147="","",iferror(max(min(TTM!G147,0.5),-0.5),""))</f>
        <v/>
      </c>
      <c r="H147" s="14" t="str">
        <f>if(TTM!H147="","",iferror(max(min(TTM!H147,0.5),-0.5),""))</f>
        <v/>
      </c>
      <c r="I147" s="14" t="str">
        <f>if(TTM!I147="","",iferror(max(min(TTM!I147,0.5),-0.5),""))</f>
        <v/>
      </c>
      <c r="J147" s="14" t="str">
        <f>if(TTM!J147="","",iferror(max(min(TTM!J147,0.5),-0.5),""))</f>
        <v/>
      </c>
      <c r="K147" s="14" t="str">
        <f>if(TTM!K147="","",iferror(max(min(TTM!K147,0.5),-0.5),""))</f>
        <v/>
      </c>
      <c r="L147" s="14" t="str">
        <f>if(TTM!L147="","",iferror(max(min(TTM!L147,0.5),-0.5),""))</f>
        <v/>
      </c>
      <c r="M147" s="14" t="str">
        <f>if(TTM!M147="","",iferror(max(min(TTM!M147,0.5),-0.5),""))</f>
        <v/>
      </c>
      <c r="N147" s="14" t="str">
        <f>if(TTM!N147="","",iferror(max(min(TTM!N147,0.5),-0.5),""))</f>
        <v/>
      </c>
      <c r="O147" s="14">
        <f>if(TTM!O147="","",iferror(max(min(TTM!O147,0.5),-0.5),""))</f>
        <v>-0.4393578548</v>
      </c>
      <c r="P147" s="14" t="str">
        <f>if(TTM!P147="","",iferror(max(min(TTM!P147,0.5),-0.5),""))</f>
        <v/>
      </c>
      <c r="Q147" s="14" t="str">
        <f>if(TTM!Q147="","",iferror(max(min(TTM!Q147,0.5),-0.5),""))</f>
        <v/>
      </c>
      <c r="R147" s="14"/>
      <c r="S147" s="14">
        <f>if(TTM!S147="","",iferror(max(min(TTM!S147,0.5),-0.5),""))</f>
        <v>-0.253226252</v>
      </c>
      <c r="T147" s="14" t="str">
        <f>if(TTM!T147="","",iferror(max(min(TTM!T147,0.5),-0.5),""))</f>
        <v/>
      </c>
      <c r="U147" s="14" t="str">
        <f>if(TTM!U147="","",iferror(max(min(TTM!U147,0.5),-0.5),""))</f>
        <v/>
      </c>
      <c r="V147" s="14">
        <f>if(TTM!V147="","",iferror(max(min(TTM!V147,0.5),-0.5),""))</f>
        <v>-0.2009960691</v>
      </c>
      <c r="W147" s="14" t="str">
        <f>if(TTM!W147="","",iferror(max(min(TTM!W147,0.5),-0.5),""))</f>
        <v/>
      </c>
      <c r="X147" s="14">
        <f>if(TTM!X147="","",iferror(max(min(TTM!X147,0.5),-0.5),""))</f>
        <v>0.1576664605</v>
      </c>
      <c r="Y147" s="14" t="str">
        <f>if(TTM!Y147="","",iferror(max(min(TTM!Y147,0.5),-0.5),""))</f>
        <v/>
      </c>
      <c r="Z147" s="14" t="str">
        <f>if(TTM!Z147="","",iferror(max(min(TTM!Z147,0.5),-0.5),""))</f>
        <v/>
      </c>
      <c r="AA147" s="14" t="str">
        <f>if(TTM!AA147="","",iferror(max(min(TTM!AA147,0.5),-0.5),""))</f>
        <v/>
      </c>
      <c r="AB147" s="14" t="str">
        <f>if(TTM!AB147="","",iferror(max(min(TTM!AB147,0.5),-0.5),""))</f>
        <v/>
      </c>
      <c r="AC147" s="14" t="str">
        <f>if(TTM!AC147="","",iferror(max(min(TTM!AC147,0.5),-0.5),""))</f>
        <v/>
      </c>
      <c r="AD147" s="12"/>
    </row>
    <row r="148">
      <c r="A148" s="15" t="s">
        <v>61</v>
      </c>
      <c r="B148" s="14" t="str">
        <f>if(TTM!B148="","",iferror(max(min(TTM!B148,0.5),-0.5),""))</f>
        <v/>
      </c>
      <c r="C148" s="14">
        <f>if(TTM!C148="","",iferror(max(min(TTM!C148,0.5),-0.5),""))</f>
        <v>0.04899428241</v>
      </c>
      <c r="D148" s="14">
        <f>if(TTM!D148="","",iferror(max(min(TTM!D148,0.5),-0.5),""))</f>
        <v>0.2222610475</v>
      </c>
      <c r="E148" s="14">
        <f>if(TTM!E148="","",iferror(max(min(TTM!E148,0.5),-0.5),""))</f>
        <v>0.4157267634</v>
      </c>
      <c r="F148" s="14" t="str">
        <f>if(TTM!F148="","",iferror(max(min(TTM!F148,0.5),-0.5),""))</f>
        <v/>
      </c>
      <c r="G148" s="14" t="str">
        <f>if(TTM!G148="","",iferror(max(min(TTM!G148,0.5),-0.5),""))</f>
        <v/>
      </c>
      <c r="H148" s="14" t="str">
        <f>if(TTM!H148="","",iferror(max(min(TTM!H148,0.5),-0.5),""))</f>
        <v/>
      </c>
      <c r="I148" s="14" t="str">
        <f>if(TTM!I148="","",iferror(max(min(TTM!I148,0.5),-0.5),""))</f>
        <v/>
      </c>
      <c r="J148" s="14" t="str">
        <f>if(TTM!J148="","",iferror(max(min(TTM!J148,0.5),-0.5),""))</f>
        <v/>
      </c>
      <c r="K148" s="14" t="str">
        <f>if(TTM!K148="","",iferror(max(min(TTM!K148,0.5),-0.5),""))</f>
        <v/>
      </c>
      <c r="L148" s="14" t="str">
        <f>if(TTM!L148="","",iferror(max(min(TTM!L148,0.5),-0.5),""))</f>
        <v/>
      </c>
      <c r="M148" s="14" t="str">
        <f>if(TTM!M148="","",iferror(max(min(TTM!M148,0.5),-0.5),""))</f>
        <v/>
      </c>
      <c r="N148" s="14" t="str">
        <f>if(TTM!N148="","",iferror(max(min(TTM!N148,0.5),-0.5),""))</f>
        <v/>
      </c>
      <c r="O148" s="14">
        <f>if(TTM!O148="","",iferror(max(min(TTM!O148,0.5),-0.5),""))</f>
        <v>-0.1844674754</v>
      </c>
      <c r="P148" s="14" t="str">
        <f>if(TTM!P148="","",iferror(max(min(TTM!P148,0.5),-0.5),""))</f>
        <v/>
      </c>
      <c r="Q148" s="14" t="str">
        <f>if(TTM!Q148="","",iferror(max(min(TTM!Q148,0.5),-0.5),""))</f>
        <v/>
      </c>
      <c r="R148" s="14"/>
      <c r="S148" s="14" t="str">
        <f>if(TTM!S148="","",iferror(max(min(TTM!S148,0.5),-0.5),""))</f>
        <v/>
      </c>
      <c r="T148" s="14" t="str">
        <f>if(TTM!T148="","",iferror(max(min(TTM!T148,0.5),-0.5),""))</f>
        <v/>
      </c>
      <c r="U148" s="14" t="str">
        <f>if(TTM!U148="","",iferror(max(min(TTM!U148,0.5),-0.5),""))</f>
        <v/>
      </c>
      <c r="V148" s="14">
        <f>if(TTM!V148="","",iferror(max(min(TTM!V148,0.5),-0.5),""))</f>
        <v>-0.2459016393</v>
      </c>
      <c r="W148" s="14" t="str">
        <f>if(TTM!W148="","",iferror(max(min(TTM!W148,0.5),-0.5),""))</f>
        <v/>
      </c>
      <c r="X148" s="14">
        <f>if(TTM!X148="","",iferror(max(min(TTM!X148,0.5),-0.5),""))</f>
        <v>0.1590546475</v>
      </c>
      <c r="Y148" s="14" t="str">
        <f>if(TTM!Y148="","",iferror(max(min(TTM!Y148,0.5),-0.5),""))</f>
        <v/>
      </c>
      <c r="Z148" s="14" t="str">
        <f>if(TTM!Z148="","",iferror(max(min(TTM!Z148,0.5),-0.5),""))</f>
        <v/>
      </c>
      <c r="AA148" s="14" t="str">
        <f>if(TTM!AA148="","",iferror(max(min(TTM!AA148,0.5),-0.5),""))</f>
        <v/>
      </c>
      <c r="AB148" s="14" t="str">
        <f>if(TTM!AB148="","",iferror(max(min(TTM!AB148,0.5),-0.5),""))</f>
        <v/>
      </c>
      <c r="AC148" s="14" t="str">
        <f>if(TTM!AC148="","",iferror(max(min(TTM!AC148,0.5),-0.5),""))</f>
        <v/>
      </c>
      <c r="AD148" s="12"/>
    </row>
    <row r="149">
      <c r="A149" s="15" t="s">
        <v>62</v>
      </c>
      <c r="B149" s="14" t="str">
        <f>if(TTM!B149="","",iferror(max(min(TTM!B149,0.5),-0.5),""))</f>
        <v/>
      </c>
      <c r="C149" s="14">
        <f>if(TTM!C149="","",iferror(max(min(TTM!C149,0.5),-0.5),""))</f>
        <v>0.05358654866</v>
      </c>
      <c r="D149" s="14">
        <f>if(TTM!D149="","",iferror(max(min(TTM!D149,0.5),-0.5),""))</f>
        <v>0.2343504422</v>
      </c>
      <c r="E149" s="14">
        <f>if(TTM!E149="","",iferror(max(min(TTM!E149,0.5),-0.5),""))</f>
        <v>0.4272330212</v>
      </c>
      <c r="F149" s="14" t="str">
        <f>if(TTM!F149="","",iferror(max(min(TTM!F149,0.5),-0.5),""))</f>
        <v/>
      </c>
      <c r="G149" s="14" t="str">
        <f>if(TTM!G149="","",iferror(max(min(TTM!G149,0.5),-0.5),""))</f>
        <v/>
      </c>
      <c r="H149" s="14" t="str">
        <f>if(TTM!H149="","",iferror(max(min(TTM!H149,0.5),-0.5),""))</f>
        <v/>
      </c>
      <c r="I149" s="14" t="str">
        <f>if(TTM!I149="","",iferror(max(min(TTM!I149,0.5),-0.5),""))</f>
        <v/>
      </c>
      <c r="J149" s="14" t="str">
        <f>if(TTM!J149="","",iferror(max(min(TTM!J149,0.5),-0.5),""))</f>
        <v/>
      </c>
      <c r="K149" s="14" t="str">
        <f>if(TTM!K149="","",iferror(max(min(TTM!K149,0.5),-0.5),""))</f>
        <v/>
      </c>
      <c r="L149" s="14" t="str">
        <f>if(TTM!L149="","",iferror(max(min(TTM!L149,0.5),-0.5),""))</f>
        <v/>
      </c>
      <c r="M149" s="14" t="str">
        <f>if(TTM!M149="","",iferror(max(min(TTM!M149,0.5),-0.5),""))</f>
        <v/>
      </c>
      <c r="N149" s="14" t="str">
        <f>if(TTM!N149="","",iferror(max(min(TTM!N149,0.5),-0.5),""))</f>
        <v/>
      </c>
      <c r="O149" s="14">
        <f>if(TTM!O149="","",iferror(max(min(TTM!O149,0.5),-0.5),""))</f>
        <v>0.07042290388</v>
      </c>
      <c r="P149" s="14" t="str">
        <f>if(TTM!P149="","",iferror(max(min(TTM!P149,0.5),-0.5),""))</f>
        <v/>
      </c>
      <c r="Q149" s="14" t="str">
        <f>if(TTM!Q149="","",iferror(max(min(TTM!Q149,0.5),-0.5),""))</f>
        <v/>
      </c>
      <c r="R149" s="14"/>
      <c r="S149" s="14" t="str">
        <f>if(TTM!S149="","",iferror(max(min(TTM!S149,0.5),-0.5),""))</f>
        <v/>
      </c>
      <c r="T149" s="14" t="str">
        <f>if(TTM!T149="","",iferror(max(min(TTM!T149,0.5),-0.5),""))</f>
        <v/>
      </c>
      <c r="U149" s="14" t="str">
        <f>if(TTM!U149="","",iferror(max(min(TTM!U149,0.5),-0.5),""))</f>
        <v/>
      </c>
      <c r="V149" s="14">
        <f>if(TTM!V149="","",iferror(max(min(TTM!V149,0.5),-0.5),""))</f>
        <v>-0.2459016393</v>
      </c>
      <c r="W149" s="14" t="str">
        <f>if(TTM!W149="","",iferror(max(min(TTM!W149,0.5),-0.5),""))</f>
        <v/>
      </c>
      <c r="X149" s="14">
        <f>if(TTM!X149="","",iferror(max(min(TTM!X149,0.5),-0.5),""))</f>
        <v>0.1604428345</v>
      </c>
      <c r="Y149" s="14" t="str">
        <f>if(TTM!Y149="","",iferror(max(min(TTM!Y149,0.5),-0.5),""))</f>
        <v/>
      </c>
      <c r="Z149" s="14" t="str">
        <f>if(TTM!Z149="","",iferror(max(min(TTM!Z149,0.5),-0.5),""))</f>
        <v/>
      </c>
      <c r="AA149" s="14" t="str">
        <f>if(TTM!AA149="","",iferror(max(min(TTM!AA149,0.5),-0.5),""))</f>
        <v/>
      </c>
      <c r="AB149" s="14" t="str">
        <f>if(TTM!AB149="","",iferror(max(min(TTM!AB149,0.5),-0.5),""))</f>
        <v/>
      </c>
      <c r="AC149" s="14" t="str">
        <f>if(TTM!AC149="","",iferror(max(min(TTM!AC149,0.5),-0.5),""))</f>
        <v/>
      </c>
      <c r="AD149" s="12"/>
    </row>
    <row r="150">
      <c r="A150" s="15" t="s">
        <v>63</v>
      </c>
      <c r="B150" s="14" t="str">
        <f>if(TTM!B150="","",iferror(max(min(TTM!B150,0.5),-0.5),""))</f>
        <v/>
      </c>
      <c r="C150" s="14">
        <f>if(TTM!C150="","",iferror(max(min(TTM!C150,0.5),-0.5),""))</f>
        <v>0.0581788149</v>
      </c>
      <c r="D150" s="14">
        <f>if(TTM!D150="","",iferror(max(min(TTM!D150,0.5),-0.5),""))</f>
        <v>0.2464398368</v>
      </c>
      <c r="E150" s="14">
        <f>if(TTM!E150="","",iferror(max(min(TTM!E150,0.5),-0.5),""))</f>
        <v>0.4387392789</v>
      </c>
      <c r="F150" s="14" t="str">
        <f>if(TTM!F150="","",iferror(max(min(TTM!F150,0.5),-0.5),""))</f>
        <v/>
      </c>
      <c r="G150" s="14" t="str">
        <f>if(TTM!G150="","",iferror(max(min(TTM!G150,0.5),-0.5),""))</f>
        <v/>
      </c>
      <c r="H150" s="14" t="str">
        <f>if(TTM!H150="","",iferror(max(min(TTM!H150,0.5),-0.5),""))</f>
        <v/>
      </c>
      <c r="I150" s="14" t="str">
        <f>if(TTM!I150="","",iferror(max(min(TTM!I150,0.5),-0.5),""))</f>
        <v/>
      </c>
      <c r="J150" s="14" t="str">
        <f>if(TTM!J150="","",iferror(max(min(TTM!J150,0.5),-0.5),""))</f>
        <v/>
      </c>
      <c r="K150" s="14" t="str">
        <f>if(TTM!K150="","",iferror(max(min(TTM!K150,0.5),-0.5),""))</f>
        <v/>
      </c>
      <c r="L150" s="14" t="str">
        <f>if(TTM!L150="","",iferror(max(min(TTM!L150,0.5),-0.5),""))</f>
        <v/>
      </c>
      <c r="M150" s="14" t="str">
        <f>if(TTM!M150="","",iferror(max(min(TTM!M150,0.5),-0.5),""))</f>
        <v/>
      </c>
      <c r="N150" s="14" t="str">
        <f>if(TTM!N150="","",iferror(max(min(TTM!N150,0.5),-0.5),""))</f>
        <v/>
      </c>
      <c r="O150" s="14">
        <f>if(TTM!O150="","",iferror(max(min(TTM!O150,0.5),-0.5),""))</f>
        <v>0.3253132832</v>
      </c>
      <c r="P150" s="14" t="str">
        <f>if(TTM!P150="","",iferror(max(min(TTM!P150,0.5),-0.5),""))</f>
        <v/>
      </c>
      <c r="Q150" s="14" t="str">
        <f>if(TTM!Q150="","",iferror(max(min(TTM!Q150,0.5),-0.5),""))</f>
        <v/>
      </c>
      <c r="R150" s="14"/>
      <c r="S150" s="14" t="str">
        <f>if(TTM!S150="","",iferror(max(min(TTM!S150,0.5),-0.5),""))</f>
        <v/>
      </c>
      <c r="T150" s="14" t="str">
        <f>if(TTM!T150="","",iferror(max(min(TTM!T150,0.5),-0.5),""))</f>
        <v/>
      </c>
      <c r="U150" s="14" t="str">
        <f>if(TTM!U150="","",iferror(max(min(TTM!U150,0.5),-0.5),""))</f>
        <v/>
      </c>
      <c r="V150" s="14">
        <f>if(TTM!V150="","",iferror(max(min(TTM!V150,0.5),-0.5),""))</f>
        <v>-0.2459016393</v>
      </c>
      <c r="W150" s="14" t="str">
        <f>if(TTM!W150="","",iferror(max(min(TTM!W150,0.5),-0.5),""))</f>
        <v/>
      </c>
      <c r="X150" s="14">
        <f>if(TTM!X150="","",iferror(max(min(TTM!X150,0.5),-0.5),""))</f>
        <v>0.1618310215</v>
      </c>
      <c r="Y150" s="14" t="str">
        <f>if(TTM!Y150="","",iferror(max(min(TTM!Y150,0.5),-0.5),""))</f>
        <v/>
      </c>
      <c r="Z150" s="14" t="str">
        <f>if(TTM!Z150="","",iferror(max(min(TTM!Z150,0.5),-0.5),""))</f>
        <v/>
      </c>
      <c r="AA150" s="14" t="str">
        <f>if(TTM!AA150="","",iferror(max(min(TTM!AA150,0.5),-0.5),""))</f>
        <v/>
      </c>
      <c r="AB150" s="14" t="str">
        <f>if(TTM!AB150="","",iferror(max(min(TTM!AB150,0.5),-0.5),""))</f>
        <v/>
      </c>
      <c r="AC150" s="14" t="str">
        <f>if(TTM!AC150="","",iferror(max(min(TTM!AC150,0.5),-0.5),""))</f>
        <v/>
      </c>
      <c r="AD150" s="12"/>
    </row>
    <row r="151">
      <c r="A151" s="15" t="s">
        <v>64</v>
      </c>
      <c r="B151" s="14" t="str">
        <f>if(TTM!B151="","",iferror(max(min(TTM!B151,0.5),-0.5),""))</f>
        <v/>
      </c>
      <c r="C151" s="14">
        <f>if(TTM!C151="","",iferror(max(min(TTM!C151,0.5),-0.5),""))</f>
        <v>0.06277108115</v>
      </c>
      <c r="D151" s="14">
        <f>if(TTM!D151="","",iferror(max(min(TTM!D151,0.5),-0.5),""))</f>
        <v>0.2585292314</v>
      </c>
      <c r="E151" s="14">
        <f>if(TTM!E151="","",iferror(max(min(TTM!E151,0.5),-0.5),""))</f>
        <v>0.4502455367</v>
      </c>
      <c r="F151" s="14" t="str">
        <f>if(TTM!F151="","",iferror(max(min(TTM!F151,0.5),-0.5),""))</f>
        <v/>
      </c>
      <c r="G151" s="14" t="str">
        <f>if(TTM!G151="","",iferror(max(min(TTM!G151,0.5),-0.5),""))</f>
        <v/>
      </c>
      <c r="H151" s="14" t="str">
        <f>if(TTM!H151="","",iferror(max(min(TTM!H151,0.5),-0.5),""))</f>
        <v/>
      </c>
      <c r="I151" s="14" t="str">
        <f>if(TTM!I151="","",iferror(max(min(TTM!I151,0.5),-0.5),""))</f>
        <v/>
      </c>
      <c r="J151" s="14" t="str">
        <f>if(TTM!J151="","",iferror(max(min(TTM!J151,0.5),-0.5),""))</f>
        <v/>
      </c>
      <c r="K151" s="14" t="str">
        <f>if(TTM!K151="","",iferror(max(min(TTM!K151,0.5),-0.5),""))</f>
        <v/>
      </c>
      <c r="L151" s="14" t="str">
        <f>if(TTM!L151="","",iferror(max(min(TTM!L151,0.5),-0.5),""))</f>
        <v/>
      </c>
      <c r="M151" s="14" t="str">
        <f>if(TTM!M151="","",iferror(max(min(TTM!M151,0.5),-0.5),""))</f>
        <v/>
      </c>
      <c r="N151" s="14" t="str">
        <f>if(TTM!N151="","",iferror(max(min(TTM!N151,0.5),-0.5),""))</f>
        <v/>
      </c>
      <c r="O151" s="14">
        <f>if(TTM!O151="","",iferror(max(min(TTM!O151,0.5),-0.5),""))</f>
        <v>0.3274835047</v>
      </c>
      <c r="P151" s="14" t="str">
        <f>if(TTM!P151="","",iferror(max(min(TTM!P151,0.5),-0.5),""))</f>
        <v/>
      </c>
      <c r="Q151" s="14" t="str">
        <f>if(TTM!Q151="","",iferror(max(min(TTM!Q151,0.5),-0.5),""))</f>
        <v/>
      </c>
      <c r="R151" s="14"/>
      <c r="S151" s="14" t="str">
        <f>if(TTM!S151="","",iferror(max(min(TTM!S151,0.5),-0.5),""))</f>
        <v/>
      </c>
      <c r="T151" s="14" t="str">
        <f>if(TTM!T151="","",iferror(max(min(TTM!T151,0.5),-0.5),""))</f>
        <v/>
      </c>
      <c r="U151" s="14" t="str">
        <f>if(TTM!U151="","",iferror(max(min(TTM!U151,0.5),-0.5),""))</f>
        <v/>
      </c>
      <c r="V151" s="14" t="str">
        <f>if(TTM!V151="","",iferror(max(min(TTM!V151,0.5),-0.5),""))</f>
        <v/>
      </c>
      <c r="W151" s="14" t="str">
        <f>if(TTM!W151="","",iferror(max(min(TTM!W151,0.5),-0.5),""))</f>
        <v/>
      </c>
      <c r="X151" s="14">
        <f>if(TTM!X151="","",iferror(max(min(TTM!X151,0.5),-0.5),""))</f>
        <v>0.1592167267</v>
      </c>
      <c r="Y151" s="14" t="str">
        <f>if(TTM!Y151="","",iferror(max(min(TTM!Y151,0.5),-0.5),""))</f>
        <v/>
      </c>
      <c r="Z151" s="14" t="str">
        <f>if(TTM!Z151="","",iferror(max(min(TTM!Z151,0.5),-0.5),""))</f>
        <v/>
      </c>
      <c r="AA151" s="14" t="str">
        <f>if(TTM!AA151="","",iferror(max(min(TTM!AA151,0.5),-0.5),""))</f>
        <v/>
      </c>
      <c r="AB151" s="14" t="str">
        <f>if(TTM!AB151="","",iferror(max(min(TTM!AB151,0.5),-0.5),""))</f>
        <v/>
      </c>
      <c r="AC151" s="14" t="str">
        <f>if(TTM!AC151="","",iferror(max(min(TTM!AC151,0.5),-0.5),""))</f>
        <v/>
      </c>
      <c r="AD151" s="12"/>
    </row>
    <row r="152">
      <c r="A152" s="15" t="s">
        <v>65</v>
      </c>
      <c r="B152" s="14" t="str">
        <f>if(TTM!B152="","",iferror(max(min(TTM!B152,0.5),-0.5),""))</f>
        <v/>
      </c>
      <c r="C152" s="14">
        <f>if(TTM!C152="","",iferror(max(min(TTM!C152,0.5),-0.5),""))</f>
        <v>0.06736334739</v>
      </c>
      <c r="D152" s="14">
        <f>if(TTM!D152="","",iferror(max(min(TTM!D152,0.5),-0.5),""))</f>
        <v>0.270618626</v>
      </c>
      <c r="E152" s="14">
        <f>if(TTM!E152="","",iferror(max(min(TTM!E152,0.5),-0.5),""))</f>
        <v>0.4617517945</v>
      </c>
      <c r="F152" s="14" t="str">
        <f>if(TTM!F152="","",iferror(max(min(TTM!F152,0.5),-0.5),""))</f>
        <v/>
      </c>
      <c r="G152" s="14" t="str">
        <f>if(TTM!G152="","",iferror(max(min(TTM!G152,0.5),-0.5),""))</f>
        <v/>
      </c>
      <c r="H152" s="14" t="str">
        <f>if(TTM!H152="","",iferror(max(min(TTM!H152,0.5),-0.5),""))</f>
        <v/>
      </c>
      <c r="I152" s="14" t="str">
        <f>if(TTM!I152="","",iferror(max(min(TTM!I152,0.5),-0.5),""))</f>
        <v/>
      </c>
      <c r="J152" s="14" t="str">
        <f>if(TTM!J152="","",iferror(max(min(TTM!J152,0.5),-0.5),""))</f>
        <v/>
      </c>
      <c r="K152" s="14" t="str">
        <f>if(TTM!K152="","",iferror(max(min(TTM!K152,0.5),-0.5),""))</f>
        <v/>
      </c>
      <c r="L152" s="14" t="str">
        <f>if(TTM!L152="","",iferror(max(min(TTM!L152,0.5),-0.5),""))</f>
        <v/>
      </c>
      <c r="M152" s="14" t="str">
        <f>if(TTM!M152="","",iferror(max(min(TTM!M152,0.5),-0.5),""))</f>
        <v/>
      </c>
      <c r="N152" s="14" t="str">
        <f>if(TTM!N152="","",iferror(max(min(TTM!N152,0.5),-0.5),""))</f>
        <v/>
      </c>
      <c r="O152" s="14">
        <f>if(TTM!O152="","",iferror(max(min(TTM!O152,0.5),-0.5),""))</f>
        <v>0.3296537262</v>
      </c>
      <c r="P152" s="14" t="str">
        <f>if(TTM!P152="","",iferror(max(min(TTM!P152,0.5),-0.5),""))</f>
        <v/>
      </c>
      <c r="Q152" s="14" t="str">
        <f>if(TTM!Q152="","",iferror(max(min(TTM!Q152,0.5),-0.5),""))</f>
        <v/>
      </c>
      <c r="R152" s="14"/>
      <c r="S152" s="14" t="str">
        <f>if(TTM!S152="","",iferror(max(min(TTM!S152,0.5),-0.5),""))</f>
        <v/>
      </c>
      <c r="T152" s="14" t="str">
        <f>if(TTM!T152="","",iferror(max(min(TTM!T152,0.5),-0.5),""))</f>
        <v/>
      </c>
      <c r="U152" s="14" t="str">
        <f>if(TTM!U152="","",iferror(max(min(TTM!U152,0.5),-0.5),""))</f>
        <v/>
      </c>
      <c r="V152" s="14" t="str">
        <f>if(TTM!V152="","",iferror(max(min(TTM!V152,0.5),-0.5),""))</f>
        <v/>
      </c>
      <c r="W152" s="14" t="str">
        <f>if(TTM!W152="","",iferror(max(min(TTM!W152,0.5),-0.5),""))</f>
        <v/>
      </c>
      <c r="X152" s="14">
        <f>if(TTM!X152="","",iferror(max(min(TTM!X152,0.5),-0.5),""))</f>
        <v>0.156602432</v>
      </c>
      <c r="Y152" s="14" t="str">
        <f>if(TTM!Y152="","",iferror(max(min(TTM!Y152,0.5),-0.5),""))</f>
        <v/>
      </c>
      <c r="Z152" s="14" t="str">
        <f>if(TTM!Z152="","",iferror(max(min(TTM!Z152,0.5),-0.5),""))</f>
        <v/>
      </c>
      <c r="AA152" s="14" t="str">
        <f>if(TTM!AA152="","",iferror(max(min(TTM!AA152,0.5),-0.5),""))</f>
        <v/>
      </c>
      <c r="AB152" s="14" t="str">
        <f>if(TTM!AB152="","",iferror(max(min(TTM!AB152,0.5),-0.5),""))</f>
        <v/>
      </c>
      <c r="AC152" s="14" t="str">
        <f>if(TTM!AC152="","",iferror(max(min(TTM!AC152,0.5),-0.5),""))</f>
        <v/>
      </c>
      <c r="AD152" s="12"/>
    </row>
    <row r="153">
      <c r="A153" s="15" t="s">
        <v>66</v>
      </c>
      <c r="B153" s="14" t="str">
        <f>if(TTM!B153="","",iferror(max(min(TTM!B153,0.5),-0.5),""))</f>
        <v/>
      </c>
      <c r="C153" s="14">
        <f>if(TTM!C153="","",iferror(max(min(TTM!C153,0.5),-0.5),""))</f>
        <v>0.0721191495</v>
      </c>
      <c r="D153" s="14">
        <f>if(TTM!D153="","",iferror(max(min(TTM!D153,0.5),-0.5),""))</f>
        <v>0.2652938643</v>
      </c>
      <c r="E153" s="14">
        <f>if(TTM!E153="","",iferror(max(min(TTM!E153,0.5),-0.5),""))</f>
        <v>0.4349951863</v>
      </c>
      <c r="F153" s="14" t="str">
        <f>if(TTM!F153="","",iferror(max(min(TTM!F153,0.5),-0.5),""))</f>
        <v/>
      </c>
      <c r="G153" s="14" t="str">
        <f>if(TTM!G153="","",iferror(max(min(TTM!G153,0.5),-0.5),""))</f>
        <v/>
      </c>
      <c r="H153" s="14" t="str">
        <f>if(TTM!H153="","",iferror(max(min(TTM!H153,0.5),-0.5),""))</f>
        <v/>
      </c>
      <c r="I153" s="14" t="str">
        <f>if(TTM!I153="","",iferror(max(min(TTM!I153,0.5),-0.5),""))</f>
        <v/>
      </c>
      <c r="J153" s="14" t="str">
        <f>if(TTM!J153="","",iferror(max(min(TTM!J153,0.5),-0.5),""))</f>
        <v/>
      </c>
      <c r="K153" s="14" t="str">
        <f>if(TTM!K153="","",iferror(max(min(TTM!K153,0.5),-0.5),""))</f>
        <v/>
      </c>
      <c r="L153" s="14" t="str">
        <f>if(TTM!L153="","",iferror(max(min(TTM!L153,0.5),-0.5),""))</f>
        <v/>
      </c>
      <c r="M153" s="14" t="str">
        <f>if(TTM!M153="","",iferror(max(min(TTM!M153,0.5),-0.5),""))</f>
        <v/>
      </c>
      <c r="N153" s="14" t="str">
        <f>if(TTM!N153="","",iferror(max(min(TTM!N153,0.5),-0.5),""))</f>
        <v/>
      </c>
      <c r="O153" s="14">
        <f>if(TTM!O153="","",iferror(max(min(TTM!O153,0.5),-0.5),""))</f>
        <v>0.3318239476</v>
      </c>
      <c r="P153" s="14" t="str">
        <f>if(TTM!P153="","",iferror(max(min(TTM!P153,0.5),-0.5),""))</f>
        <v/>
      </c>
      <c r="Q153" s="14" t="str">
        <f>if(TTM!Q153="","",iferror(max(min(TTM!Q153,0.5),-0.5),""))</f>
        <v/>
      </c>
      <c r="R153" s="14"/>
      <c r="S153" s="14" t="str">
        <f>if(TTM!S153="","",iferror(max(min(TTM!S153,0.5),-0.5),""))</f>
        <v/>
      </c>
      <c r="T153" s="14" t="str">
        <f>if(TTM!T153="","",iferror(max(min(TTM!T153,0.5),-0.5),""))</f>
        <v/>
      </c>
      <c r="U153" s="14" t="str">
        <f>if(TTM!U153="","",iferror(max(min(TTM!U153,0.5),-0.5),""))</f>
        <v/>
      </c>
      <c r="V153" s="14" t="str">
        <f>if(TTM!V153="","",iferror(max(min(TTM!V153,0.5),-0.5),""))</f>
        <v/>
      </c>
      <c r="W153" s="14" t="str">
        <f>if(TTM!W153="","",iferror(max(min(TTM!W153,0.5),-0.5),""))</f>
        <v/>
      </c>
      <c r="X153" s="14">
        <f>if(TTM!X153="","",iferror(max(min(TTM!X153,0.5),-0.5),""))</f>
        <v>0.1539881372</v>
      </c>
      <c r="Y153" s="14" t="str">
        <f>if(TTM!Y153="","",iferror(max(min(TTM!Y153,0.5),-0.5),""))</f>
        <v/>
      </c>
      <c r="Z153" s="14" t="str">
        <f>if(TTM!Z153="","",iferror(max(min(TTM!Z153,0.5),-0.5),""))</f>
        <v/>
      </c>
      <c r="AA153" s="14" t="str">
        <f>if(TTM!AA153="","",iferror(max(min(TTM!AA153,0.5),-0.5),""))</f>
        <v/>
      </c>
      <c r="AB153" s="14" t="str">
        <f>if(TTM!AB153="","",iferror(max(min(TTM!AB153,0.5),-0.5),""))</f>
        <v/>
      </c>
      <c r="AC153" s="14" t="str">
        <f>if(TTM!AC153="","",iferror(max(min(TTM!AC153,0.5),-0.5),""))</f>
        <v/>
      </c>
      <c r="AD153" s="12"/>
    </row>
    <row r="154">
      <c r="A154" s="15" t="s">
        <v>67</v>
      </c>
      <c r="B154" s="14" t="str">
        <f>if(TTM!B154="","",iferror(max(min(TTM!B154,0.5),-0.5),""))</f>
        <v/>
      </c>
      <c r="C154" s="14">
        <f>if(TTM!C154="","",iferror(max(min(TTM!C154,0.5),-0.5),""))</f>
        <v>0.07687495161</v>
      </c>
      <c r="D154" s="14">
        <f>if(TTM!D154="","",iferror(max(min(TTM!D154,0.5),-0.5),""))</f>
        <v>0.2599691026</v>
      </c>
      <c r="E154" s="14">
        <f>if(TTM!E154="","",iferror(max(min(TTM!E154,0.5),-0.5),""))</f>
        <v>0.408238578</v>
      </c>
      <c r="F154" s="14" t="str">
        <f>if(TTM!F154="","",iferror(max(min(TTM!F154,0.5),-0.5),""))</f>
        <v/>
      </c>
      <c r="G154" s="14" t="str">
        <f>if(TTM!G154="","",iferror(max(min(TTM!G154,0.5),-0.5),""))</f>
        <v/>
      </c>
      <c r="H154" s="14" t="str">
        <f>if(TTM!H154="","",iferror(max(min(TTM!H154,0.5),-0.5),""))</f>
        <v/>
      </c>
      <c r="I154" s="14" t="str">
        <f>if(TTM!I154="","",iferror(max(min(TTM!I154,0.5),-0.5),""))</f>
        <v/>
      </c>
      <c r="J154" s="14" t="str">
        <f>if(TTM!J154="","",iferror(max(min(TTM!J154,0.5),-0.5),""))</f>
        <v/>
      </c>
      <c r="K154" s="14" t="str">
        <f>if(TTM!K154="","",iferror(max(min(TTM!K154,0.5),-0.5),""))</f>
        <v/>
      </c>
      <c r="L154" s="14" t="str">
        <f>if(TTM!L154="","",iferror(max(min(TTM!L154,0.5),-0.5),""))</f>
        <v/>
      </c>
      <c r="M154" s="14" t="str">
        <f>if(TTM!M154="","",iferror(max(min(TTM!M154,0.5),-0.5),""))</f>
        <v/>
      </c>
      <c r="N154" s="14" t="str">
        <f>if(TTM!N154="","",iferror(max(min(TTM!N154,0.5),-0.5),""))</f>
        <v/>
      </c>
      <c r="O154" s="14">
        <f>if(TTM!O154="","",iferror(max(min(TTM!O154,0.5),-0.5),""))</f>
        <v>0.3339941691</v>
      </c>
      <c r="P154" s="14" t="str">
        <f>if(TTM!P154="","",iferror(max(min(TTM!P154,0.5),-0.5),""))</f>
        <v/>
      </c>
      <c r="Q154" s="14" t="str">
        <f>if(TTM!Q154="","",iferror(max(min(TTM!Q154,0.5),-0.5),""))</f>
        <v/>
      </c>
      <c r="R154" s="14"/>
      <c r="S154" s="14" t="str">
        <f>if(TTM!S154="","",iferror(max(min(TTM!S154,0.5),-0.5),""))</f>
        <v/>
      </c>
      <c r="T154" s="14" t="str">
        <f>if(TTM!T154="","",iferror(max(min(TTM!T154,0.5),-0.5),""))</f>
        <v/>
      </c>
      <c r="U154" s="14" t="str">
        <f>if(TTM!U154="","",iferror(max(min(TTM!U154,0.5),-0.5),""))</f>
        <v/>
      </c>
      <c r="V154" s="14" t="str">
        <f>if(TTM!V154="","",iferror(max(min(TTM!V154,0.5),-0.5),""))</f>
        <v/>
      </c>
      <c r="W154" s="14" t="str">
        <f>if(TTM!W154="","",iferror(max(min(TTM!W154,0.5),-0.5),""))</f>
        <v/>
      </c>
      <c r="X154" s="14">
        <f>if(TTM!X154="","",iferror(max(min(TTM!X154,0.5),-0.5),""))</f>
        <v>0.1513738425</v>
      </c>
      <c r="Y154" s="14" t="str">
        <f>if(TTM!Y154="","",iferror(max(min(TTM!Y154,0.5),-0.5),""))</f>
        <v/>
      </c>
      <c r="Z154" s="14" t="str">
        <f>if(TTM!Z154="","",iferror(max(min(TTM!Z154,0.5),-0.5),""))</f>
        <v/>
      </c>
      <c r="AA154" s="14" t="str">
        <f>if(TTM!AA154="","",iferror(max(min(TTM!AA154,0.5),-0.5),""))</f>
        <v/>
      </c>
      <c r="AB154" s="14" t="str">
        <f>if(TTM!AB154="","",iferror(max(min(TTM!AB154,0.5),-0.5),""))</f>
        <v/>
      </c>
      <c r="AC154" s="14" t="str">
        <f>if(TTM!AC154="","",iferror(max(min(TTM!AC154,0.5),-0.5),""))</f>
        <v/>
      </c>
      <c r="AD154" s="12"/>
    </row>
    <row r="155">
      <c r="A155" s="15" t="s">
        <v>68</v>
      </c>
      <c r="B155" s="14" t="str">
        <f>if(TTM!B155="","",iferror(max(min(TTM!B155,0.5),-0.5),""))</f>
        <v/>
      </c>
      <c r="C155" s="14">
        <f>if(TTM!C155="","",iferror(max(min(TTM!C155,0.5),-0.5),""))</f>
        <v>0.08163075371</v>
      </c>
      <c r="D155" s="14">
        <f>if(TTM!D155="","",iferror(max(min(TTM!D155,0.5),-0.5),""))</f>
        <v>0.2546443409</v>
      </c>
      <c r="E155" s="14">
        <f>if(TTM!E155="","",iferror(max(min(TTM!E155,0.5),-0.5),""))</f>
        <v>0.3814819697</v>
      </c>
      <c r="F155" s="14" t="str">
        <f>if(TTM!F155="","",iferror(max(min(TTM!F155,0.5),-0.5),""))</f>
        <v/>
      </c>
      <c r="G155" s="14" t="str">
        <f>if(TTM!G155="","",iferror(max(min(TTM!G155,0.5),-0.5),""))</f>
        <v/>
      </c>
      <c r="H155" s="14" t="str">
        <f>if(TTM!H155="","",iferror(max(min(TTM!H155,0.5),-0.5),""))</f>
        <v/>
      </c>
      <c r="I155" s="14" t="str">
        <f>if(TTM!I155="","",iferror(max(min(TTM!I155,0.5),-0.5),""))</f>
        <v/>
      </c>
      <c r="J155" s="14" t="str">
        <f>if(TTM!J155="","",iferror(max(min(TTM!J155,0.5),-0.5),""))</f>
        <v/>
      </c>
      <c r="K155" s="14" t="str">
        <f>if(TTM!K155="","",iferror(max(min(TTM!K155,0.5),-0.5),""))</f>
        <v/>
      </c>
      <c r="L155" s="14" t="str">
        <f>if(TTM!L155="","",iferror(max(min(TTM!L155,0.5),-0.5),""))</f>
        <v/>
      </c>
      <c r="M155" s="14" t="str">
        <f>if(TTM!M155="","",iferror(max(min(TTM!M155,0.5),-0.5),""))</f>
        <v/>
      </c>
      <c r="N155" s="14" t="str">
        <f>if(TTM!N155="","",iferror(max(min(TTM!N155,0.5),-0.5),""))</f>
        <v/>
      </c>
      <c r="O155" s="14">
        <f>if(TTM!O155="","",iferror(max(min(TTM!O155,0.5),-0.5),""))</f>
        <v>0.3174886025</v>
      </c>
      <c r="P155" s="14" t="str">
        <f>if(TTM!P155="","",iferror(max(min(TTM!P155,0.5),-0.5),""))</f>
        <v/>
      </c>
      <c r="Q155" s="14" t="str">
        <f>if(TTM!Q155="","",iferror(max(min(TTM!Q155,0.5),-0.5),""))</f>
        <v/>
      </c>
      <c r="R155" s="14"/>
      <c r="S155" s="14" t="str">
        <f>if(TTM!S155="","",iferror(max(min(TTM!S155,0.5),-0.5),""))</f>
        <v/>
      </c>
      <c r="T155" s="14" t="str">
        <f>if(TTM!T155="","",iferror(max(min(TTM!T155,0.5),-0.5),""))</f>
        <v/>
      </c>
      <c r="U155" s="14" t="str">
        <f>if(TTM!U155="","",iferror(max(min(TTM!U155,0.5),-0.5),""))</f>
        <v/>
      </c>
      <c r="V155" s="14" t="str">
        <f>if(TTM!V155="","",iferror(max(min(TTM!V155,0.5),-0.5),""))</f>
        <v/>
      </c>
      <c r="W155" s="14" t="str">
        <f>if(TTM!W155="","",iferror(max(min(TTM!W155,0.5),-0.5),""))</f>
        <v/>
      </c>
      <c r="X155" s="14">
        <f>if(TTM!X155="","",iferror(max(min(TTM!X155,0.5),-0.5),""))</f>
        <v>0.1420610984</v>
      </c>
      <c r="Y155" s="14" t="str">
        <f>if(TTM!Y155="","",iferror(max(min(TTM!Y155,0.5),-0.5),""))</f>
        <v/>
      </c>
      <c r="Z155" s="14" t="str">
        <f>if(TTM!Z155="","",iferror(max(min(TTM!Z155,0.5),-0.5),""))</f>
        <v/>
      </c>
      <c r="AA155" s="14" t="str">
        <f>if(TTM!AA155="","",iferror(max(min(TTM!AA155,0.5),-0.5),""))</f>
        <v/>
      </c>
      <c r="AB155" s="14" t="str">
        <f>if(TTM!AB155="","",iferror(max(min(TTM!AB155,0.5),-0.5),""))</f>
        <v/>
      </c>
      <c r="AC155" s="14" t="str">
        <f>if(TTM!AC155="","",iferror(max(min(TTM!AC155,0.5),-0.5),""))</f>
        <v/>
      </c>
      <c r="AD155" s="12"/>
    </row>
    <row r="156">
      <c r="A156" s="15" t="s">
        <v>69</v>
      </c>
      <c r="B156" s="14" t="str">
        <f>if(TTM!B156="","",iferror(max(min(TTM!B156,0.5),-0.5),""))</f>
        <v/>
      </c>
      <c r="C156" s="14">
        <f>if(TTM!C156="","",iferror(max(min(TTM!C156,0.5),-0.5),""))</f>
        <v>0.08638655582</v>
      </c>
      <c r="D156" s="14">
        <f>if(TTM!D156="","",iferror(max(min(TTM!D156,0.5),-0.5),""))</f>
        <v>0.2493195792</v>
      </c>
      <c r="E156" s="14">
        <f>if(TTM!E156="","",iferror(max(min(TTM!E156,0.5),-0.5),""))</f>
        <v>0.3547253615</v>
      </c>
      <c r="F156" s="14" t="str">
        <f>if(TTM!F156="","",iferror(max(min(TTM!F156,0.5),-0.5),""))</f>
        <v/>
      </c>
      <c r="G156" s="14" t="str">
        <f>if(TTM!G156="","",iferror(max(min(TTM!G156,0.5),-0.5),""))</f>
        <v/>
      </c>
      <c r="H156" s="14" t="str">
        <f>if(TTM!H156="","",iferror(max(min(TTM!H156,0.5),-0.5),""))</f>
        <v/>
      </c>
      <c r="I156" s="14" t="str">
        <f>if(TTM!I156="","",iferror(max(min(TTM!I156,0.5),-0.5),""))</f>
        <v/>
      </c>
      <c r="J156" s="14" t="str">
        <f>if(TTM!J156="","",iferror(max(min(TTM!J156,0.5),-0.5),""))</f>
        <v/>
      </c>
      <c r="K156" s="14" t="str">
        <f>if(TTM!K156="","",iferror(max(min(TTM!K156,0.5),-0.5),""))</f>
        <v/>
      </c>
      <c r="L156" s="14" t="str">
        <f>if(TTM!L156="","",iferror(max(min(TTM!L156,0.5),-0.5),""))</f>
        <v/>
      </c>
      <c r="M156" s="14" t="str">
        <f>if(TTM!M156="","",iferror(max(min(TTM!M156,0.5),-0.5),""))</f>
        <v/>
      </c>
      <c r="N156" s="14" t="str">
        <f>if(TTM!N156="","",iferror(max(min(TTM!N156,0.5),-0.5),""))</f>
        <v/>
      </c>
      <c r="O156" s="14">
        <f>if(TTM!O156="","",iferror(max(min(TTM!O156,0.5),-0.5),""))</f>
        <v>0.3009830358</v>
      </c>
      <c r="P156" s="14" t="str">
        <f>if(TTM!P156="","",iferror(max(min(TTM!P156,0.5),-0.5),""))</f>
        <v/>
      </c>
      <c r="Q156" s="14" t="str">
        <f>if(TTM!Q156="","",iferror(max(min(TTM!Q156,0.5),-0.5),""))</f>
        <v/>
      </c>
      <c r="R156" s="14"/>
      <c r="S156" s="14" t="str">
        <f>if(TTM!S156="","",iferror(max(min(TTM!S156,0.5),-0.5),""))</f>
        <v/>
      </c>
      <c r="T156" s="14" t="str">
        <f>if(TTM!T156="","",iferror(max(min(TTM!T156,0.5),-0.5),""))</f>
        <v/>
      </c>
      <c r="U156" s="14" t="str">
        <f>if(TTM!U156="","",iferror(max(min(TTM!U156,0.5),-0.5),""))</f>
        <v/>
      </c>
      <c r="V156" s="14" t="str">
        <f>if(TTM!V156="","",iferror(max(min(TTM!V156,0.5),-0.5),""))</f>
        <v/>
      </c>
      <c r="W156" s="14" t="str">
        <f>if(TTM!W156="","",iferror(max(min(TTM!W156,0.5),-0.5),""))</f>
        <v/>
      </c>
      <c r="X156" s="14">
        <f>if(TTM!X156="","",iferror(max(min(TTM!X156,0.5),-0.5),""))</f>
        <v>0.1327483544</v>
      </c>
      <c r="Y156" s="14" t="str">
        <f>if(TTM!Y156="","",iferror(max(min(TTM!Y156,0.5),-0.5),""))</f>
        <v/>
      </c>
      <c r="Z156" s="14" t="str">
        <f>if(TTM!Z156="","",iferror(max(min(TTM!Z156,0.5),-0.5),""))</f>
        <v/>
      </c>
      <c r="AA156" s="14" t="str">
        <f>if(TTM!AA156="","",iferror(max(min(TTM!AA156,0.5),-0.5),""))</f>
        <v/>
      </c>
      <c r="AB156" s="14" t="str">
        <f>if(TTM!AB156="","",iferror(max(min(TTM!AB156,0.5),-0.5),""))</f>
        <v/>
      </c>
      <c r="AC156" s="14" t="str">
        <f>if(TTM!AC156="","",iferror(max(min(TTM!AC156,0.5),-0.5),""))</f>
        <v/>
      </c>
      <c r="AD156" s="12"/>
    </row>
    <row r="157">
      <c r="A157" s="15" t="s">
        <v>70</v>
      </c>
      <c r="B157" s="14" t="str">
        <f>if(TTM!B157="","",iferror(max(min(TTM!B157,0.5),-0.5),""))</f>
        <v/>
      </c>
      <c r="C157" s="14">
        <f>if(TTM!C157="","",iferror(max(min(TTM!C157,0.5),-0.5),""))</f>
        <v>0.1057264016</v>
      </c>
      <c r="D157" s="14">
        <f>if(TTM!D157="","",iferror(max(min(TTM!D157,0.5),-0.5),""))</f>
        <v>0.2494738327</v>
      </c>
      <c r="E157" s="14">
        <f>if(TTM!E157="","",iferror(max(min(TTM!E157,0.5),-0.5),""))</f>
        <v>0.3604011171</v>
      </c>
      <c r="F157" s="14" t="str">
        <f>if(TTM!F157="","",iferror(max(min(TTM!F157,0.5),-0.5),""))</f>
        <v/>
      </c>
      <c r="G157" s="14" t="str">
        <f>if(TTM!G157="","",iferror(max(min(TTM!G157,0.5),-0.5),""))</f>
        <v/>
      </c>
      <c r="H157" s="14" t="str">
        <f>if(TTM!H157="","",iferror(max(min(TTM!H157,0.5),-0.5),""))</f>
        <v/>
      </c>
      <c r="I157" s="14" t="str">
        <f>if(TTM!I157="","",iferror(max(min(TTM!I157,0.5),-0.5),""))</f>
        <v/>
      </c>
      <c r="J157" s="14" t="str">
        <f>if(TTM!J157="","",iferror(max(min(TTM!J157,0.5),-0.5),""))</f>
        <v/>
      </c>
      <c r="K157" s="14" t="str">
        <f>if(TTM!K157="","",iferror(max(min(TTM!K157,0.5),-0.5),""))</f>
        <v/>
      </c>
      <c r="L157" s="14" t="str">
        <f>if(TTM!L157="","",iferror(max(min(TTM!L157,0.5),-0.5),""))</f>
        <v/>
      </c>
      <c r="M157" s="14" t="str">
        <f>if(TTM!M157="","",iferror(max(min(TTM!M157,0.5),-0.5),""))</f>
        <v/>
      </c>
      <c r="N157" s="14" t="str">
        <f>if(TTM!N157="","",iferror(max(min(TTM!N157,0.5),-0.5),""))</f>
        <v/>
      </c>
      <c r="O157" s="14">
        <f>if(TTM!O157="","",iferror(max(min(TTM!O157,0.5),-0.5),""))</f>
        <v>0.2844774692</v>
      </c>
      <c r="P157" s="14" t="str">
        <f>if(TTM!P157="","",iferror(max(min(TTM!P157,0.5),-0.5),""))</f>
        <v/>
      </c>
      <c r="Q157" s="14" t="str">
        <f>if(TTM!Q157="","",iferror(max(min(TTM!Q157,0.5),-0.5),""))</f>
        <v/>
      </c>
      <c r="R157" s="14"/>
      <c r="S157" s="14" t="str">
        <f>if(TTM!S157="","",iferror(max(min(TTM!S157,0.5),-0.5),""))</f>
        <v/>
      </c>
      <c r="T157" s="14" t="str">
        <f>if(TTM!T157="","",iferror(max(min(TTM!T157,0.5),-0.5),""))</f>
        <v/>
      </c>
      <c r="U157" s="14" t="str">
        <f>if(TTM!U157="","",iferror(max(min(TTM!U157,0.5),-0.5),""))</f>
        <v/>
      </c>
      <c r="V157" s="14" t="str">
        <f>if(TTM!V157="","",iferror(max(min(TTM!V157,0.5),-0.5),""))</f>
        <v/>
      </c>
      <c r="W157" s="14" t="str">
        <f>if(TTM!W157="","",iferror(max(min(TTM!W157,0.5),-0.5),""))</f>
        <v/>
      </c>
      <c r="X157" s="14">
        <f>if(TTM!X157="","",iferror(max(min(TTM!X157,0.5),-0.5),""))</f>
        <v>0.1234356104</v>
      </c>
      <c r="Y157" s="14" t="str">
        <f>if(TTM!Y157="","",iferror(max(min(TTM!Y157,0.5),-0.5),""))</f>
        <v/>
      </c>
      <c r="Z157" s="14" t="str">
        <f>if(TTM!Z157="","",iferror(max(min(TTM!Z157,0.5),-0.5),""))</f>
        <v/>
      </c>
      <c r="AA157" s="14" t="str">
        <f>if(TTM!AA157="","",iferror(max(min(TTM!AA157,0.5),-0.5),""))</f>
        <v/>
      </c>
      <c r="AB157" s="14" t="str">
        <f>if(TTM!AB157="","",iferror(max(min(TTM!AB157,0.5),-0.5),""))</f>
        <v/>
      </c>
      <c r="AC157" s="14" t="str">
        <f>if(TTM!AC157="","",iferror(max(min(TTM!AC157,0.5),-0.5),""))</f>
        <v/>
      </c>
      <c r="AD157" s="12"/>
    </row>
    <row r="158">
      <c r="A158" s="15" t="s">
        <v>71</v>
      </c>
      <c r="B158" s="14" t="str">
        <f>if(TTM!B158="","",iferror(max(min(TTM!B158,0.5),-0.5),""))</f>
        <v/>
      </c>
      <c r="C158" s="14">
        <f>if(TTM!C158="","",iferror(max(min(TTM!C158,0.5),-0.5),""))</f>
        <v>0.1250662474</v>
      </c>
      <c r="D158" s="14">
        <f>if(TTM!D158="","",iferror(max(min(TTM!D158,0.5),-0.5),""))</f>
        <v>0.2496280862</v>
      </c>
      <c r="E158" s="14">
        <f>if(TTM!E158="","",iferror(max(min(TTM!E158,0.5),-0.5),""))</f>
        <v>0.3660768726</v>
      </c>
      <c r="F158" s="14" t="str">
        <f>if(TTM!F158="","",iferror(max(min(TTM!F158,0.5),-0.5),""))</f>
        <v/>
      </c>
      <c r="G158" s="14" t="str">
        <f>if(TTM!G158="","",iferror(max(min(TTM!G158,0.5),-0.5),""))</f>
        <v/>
      </c>
      <c r="H158" s="14" t="str">
        <f>if(TTM!H158="","",iferror(max(min(TTM!H158,0.5),-0.5),""))</f>
        <v/>
      </c>
      <c r="I158" s="14" t="str">
        <f>if(TTM!I158="","",iferror(max(min(TTM!I158,0.5),-0.5),""))</f>
        <v/>
      </c>
      <c r="J158" s="14" t="str">
        <f>if(TTM!J158="","",iferror(max(min(TTM!J158,0.5),-0.5),""))</f>
        <v/>
      </c>
      <c r="K158" s="14" t="str">
        <f>if(TTM!K158="","",iferror(max(min(TTM!K158,0.5),-0.5),""))</f>
        <v/>
      </c>
      <c r="L158" s="14" t="str">
        <f>if(TTM!L158="","",iferror(max(min(TTM!L158,0.5),-0.5),""))</f>
        <v/>
      </c>
      <c r="M158" s="14" t="str">
        <f>if(TTM!M158="","",iferror(max(min(TTM!M158,0.5),-0.5),""))</f>
        <v/>
      </c>
      <c r="N158" s="14" t="str">
        <f>if(TTM!N158="","",iferror(max(min(TTM!N158,0.5),-0.5),""))</f>
        <v/>
      </c>
      <c r="O158" s="14">
        <f>if(TTM!O158="","",iferror(max(min(TTM!O158,0.5),-0.5),""))</f>
        <v>0.2679719026</v>
      </c>
      <c r="P158" s="14" t="str">
        <f>if(TTM!P158="","",iferror(max(min(TTM!P158,0.5),-0.5),""))</f>
        <v/>
      </c>
      <c r="Q158" s="14" t="str">
        <f>if(TTM!Q158="","",iferror(max(min(TTM!Q158,0.5),-0.5),""))</f>
        <v/>
      </c>
      <c r="R158" s="14"/>
      <c r="S158" s="14" t="str">
        <f>if(TTM!S158="","",iferror(max(min(TTM!S158,0.5),-0.5),""))</f>
        <v/>
      </c>
      <c r="T158" s="14" t="str">
        <f>if(TTM!T158="","",iferror(max(min(TTM!T158,0.5),-0.5),""))</f>
        <v/>
      </c>
      <c r="U158" s="14" t="str">
        <f>if(TTM!U158="","",iferror(max(min(TTM!U158,0.5),-0.5),""))</f>
        <v/>
      </c>
      <c r="V158" s="14">
        <f>if(TTM!V158="","",iferror(max(min(TTM!V158,0.5),-0.5),""))</f>
        <v>-0.04772991851</v>
      </c>
      <c r="W158" s="14" t="str">
        <f>if(TTM!W158="","",iferror(max(min(TTM!W158,0.5),-0.5),""))</f>
        <v/>
      </c>
      <c r="X158" s="14">
        <f>if(TTM!X158="","",iferror(max(min(TTM!X158,0.5),-0.5),""))</f>
        <v>0.1141228663</v>
      </c>
      <c r="Y158" s="14" t="str">
        <f>if(TTM!Y158="","",iferror(max(min(TTM!Y158,0.5),-0.5),""))</f>
        <v/>
      </c>
      <c r="Z158" s="14" t="str">
        <f>if(TTM!Z158="","",iferror(max(min(TTM!Z158,0.5),-0.5),""))</f>
        <v/>
      </c>
      <c r="AA158" s="14" t="str">
        <f>if(TTM!AA158="","",iferror(max(min(TTM!AA158,0.5),-0.5),""))</f>
        <v/>
      </c>
      <c r="AB158" s="14" t="str">
        <f>if(TTM!AB158="","",iferror(max(min(TTM!AB158,0.5),-0.5),""))</f>
        <v/>
      </c>
      <c r="AC158" s="14" t="str">
        <f>if(TTM!AC158="","",iferror(max(min(TTM!AC158,0.5),-0.5),""))</f>
        <v/>
      </c>
      <c r="AD158" s="12"/>
    </row>
    <row r="159">
      <c r="A159" s="15" t="s">
        <v>72</v>
      </c>
      <c r="B159" s="14" t="str">
        <f>if(TTM!B159="","",iferror(max(min(TTM!B159,0.5),-0.5),""))</f>
        <v/>
      </c>
      <c r="C159" s="14">
        <f>if(TTM!C159="","",iferror(max(min(TTM!C159,0.5),-0.5),""))</f>
        <v>0.1444060931</v>
      </c>
      <c r="D159" s="14">
        <f>if(TTM!D159="","",iferror(max(min(TTM!D159,0.5),-0.5),""))</f>
        <v>0.2497823398</v>
      </c>
      <c r="E159" s="14">
        <f>if(TTM!E159="","",iferror(max(min(TTM!E159,0.5),-0.5),""))</f>
        <v>0.3717526282</v>
      </c>
      <c r="F159" s="14" t="str">
        <f>if(TTM!F159="","",iferror(max(min(TTM!F159,0.5),-0.5),""))</f>
        <v/>
      </c>
      <c r="G159" s="14" t="str">
        <f>if(TTM!G159="","",iferror(max(min(TTM!G159,0.5),-0.5),""))</f>
        <v/>
      </c>
      <c r="H159" s="14" t="str">
        <f>if(TTM!H159="","",iferror(max(min(TTM!H159,0.5),-0.5),""))</f>
        <v/>
      </c>
      <c r="I159" s="14" t="str">
        <f>if(TTM!I159="","",iferror(max(min(TTM!I159,0.5),-0.5),""))</f>
        <v/>
      </c>
      <c r="J159" s="14" t="str">
        <f>if(TTM!J159="","",iferror(max(min(TTM!J159,0.5),-0.5),""))</f>
        <v/>
      </c>
      <c r="K159" s="14" t="str">
        <f>if(TTM!K159="","",iferror(max(min(TTM!K159,0.5),-0.5),""))</f>
        <v/>
      </c>
      <c r="L159" s="14" t="str">
        <f>if(TTM!L159="","",iferror(max(min(TTM!L159,0.5),-0.5),""))</f>
        <v/>
      </c>
      <c r="M159" s="14" t="str">
        <f>if(TTM!M159="","",iferror(max(min(TTM!M159,0.5),-0.5),""))</f>
        <v/>
      </c>
      <c r="N159" s="14" t="str">
        <f>if(TTM!N159="","",iferror(max(min(TTM!N159,0.5),-0.5),""))</f>
        <v/>
      </c>
      <c r="O159" s="14">
        <f>if(TTM!O159="","",iferror(max(min(TTM!O159,0.5),-0.5),""))</f>
        <v>0.2889492502</v>
      </c>
      <c r="P159" s="14" t="str">
        <f>if(TTM!P159="","",iferror(max(min(TTM!P159,0.5),-0.5),""))</f>
        <v/>
      </c>
      <c r="Q159" s="14" t="str">
        <f>if(TTM!Q159="","",iferror(max(min(TTM!Q159,0.5),-0.5),""))</f>
        <v/>
      </c>
      <c r="R159" s="14"/>
      <c r="S159" s="14" t="str">
        <f>if(TTM!S159="","",iferror(max(min(TTM!S159,0.5),-0.5),""))</f>
        <v/>
      </c>
      <c r="T159" s="14" t="str">
        <f>if(TTM!T159="","",iferror(max(min(TTM!T159,0.5),-0.5),""))</f>
        <v/>
      </c>
      <c r="U159" s="14" t="str">
        <f>if(TTM!U159="","",iferror(max(min(TTM!U159,0.5),-0.5),""))</f>
        <v/>
      </c>
      <c r="V159" s="14">
        <f>if(TTM!V159="","",iferror(max(min(TTM!V159,0.5),-0.5),""))</f>
        <v>-0.04772991851</v>
      </c>
      <c r="W159" s="14" t="str">
        <f>if(TTM!W159="","",iferror(max(min(TTM!W159,0.5),-0.5),""))</f>
        <v/>
      </c>
      <c r="X159" s="14">
        <f>if(TTM!X159="","",iferror(max(min(TTM!X159,0.5),-0.5),""))</f>
        <v>0.1146192897</v>
      </c>
      <c r="Y159" s="14" t="str">
        <f>if(TTM!Y159="","",iferror(max(min(TTM!Y159,0.5),-0.5),""))</f>
        <v/>
      </c>
      <c r="Z159" s="14" t="str">
        <f>if(TTM!Z159="","",iferror(max(min(TTM!Z159,0.5),-0.5),""))</f>
        <v/>
      </c>
      <c r="AA159" s="14" t="str">
        <f>if(TTM!AA159="","",iferror(max(min(TTM!AA159,0.5),-0.5),""))</f>
        <v/>
      </c>
      <c r="AB159" s="14" t="str">
        <f>if(TTM!AB159="","",iferror(max(min(TTM!AB159,0.5),-0.5),""))</f>
        <v/>
      </c>
      <c r="AC159" s="14" t="str">
        <f>if(TTM!AC159="","",iferror(max(min(TTM!AC159,0.5),-0.5),""))</f>
        <v/>
      </c>
      <c r="AD159" s="12"/>
    </row>
    <row r="160">
      <c r="A160" s="15" t="s">
        <v>73</v>
      </c>
      <c r="B160" s="14" t="str">
        <f>if(TTM!B160="","",iferror(max(min(TTM!B160,0.5),-0.5),""))</f>
        <v/>
      </c>
      <c r="C160" s="14">
        <f>if(TTM!C160="","",iferror(max(min(TTM!C160,0.5),-0.5),""))</f>
        <v>0.1637459389</v>
      </c>
      <c r="D160" s="14">
        <f>if(TTM!D160="","",iferror(max(min(TTM!D160,0.5),-0.5),""))</f>
        <v>0.2499365933</v>
      </c>
      <c r="E160" s="14">
        <f>if(TTM!E160="","",iferror(max(min(TTM!E160,0.5),-0.5),""))</f>
        <v>0.3774283838</v>
      </c>
      <c r="F160" s="14" t="str">
        <f>if(TTM!F160="","",iferror(max(min(TTM!F160,0.5),-0.5),""))</f>
        <v/>
      </c>
      <c r="G160" s="14" t="str">
        <f>if(TTM!G160="","",iferror(max(min(TTM!G160,0.5),-0.5),""))</f>
        <v/>
      </c>
      <c r="H160" s="14" t="str">
        <f>if(TTM!H160="","",iferror(max(min(TTM!H160,0.5),-0.5),""))</f>
        <v/>
      </c>
      <c r="I160" s="14" t="str">
        <f>if(TTM!I160="","",iferror(max(min(TTM!I160,0.5),-0.5),""))</f>
        <v/>
      </c>
      <c r="J160" s="14" t="str">
        <f>if(TTM!J160="","",iferror(max(min(TTM!J160,0.5),-0.5),""))</f>
        <v/>
      </c>
      <c r="K160" s="14" t="str">
        <f>if(TTM!K160="","",iferror(max(min(TTM!K160,0.5),-0.5),""))</f>
        <v/>
      </c>
      <c r="L160" s="14" t="str">
        <f>if(TTM!L160="","",iferror(max(min(TTM!L160,0.5),-0.5),""))</f>
        <v/>
      </c>
      <c r="M160" s="14" t="str">
        <f>if(TTM!M160="","",iferror(max(min(TTM!M160,0.5),-0.5),""))</f>
        <v/>
      </c>
      <c r="N160" s="14" t="str">
        <f>if(TTM!N160="","",iferror(max(min(TTM!N160,0.5),-0.5),""))</f>
        <v/>
      </c>
      <c r="O160" s="14">
        <f>if(TTM!O160="","",iferror(max(min(TTM!O160,0.5),-0.5),""))</f>
        <v>0.3099265978</v>
      </c>
      <c r="P160" s="14" t="str">
        <f>if(TTM!P160="","",iferror(max(min(TTM!P160,0.5),-0.5),""))</f>
        <v/>
      </c>
      <c r="Q160" s="14" t="str">
        <f>if(TTM!Q160="","",iferror(max(min(TTM!Q160,0.5),-0.5),""))</f>
        <v/>
      </c>
      <c r="R160" s="14"/>
      <c r="S160" s="14" t="str">
        <f>if(TTM!S160="","",iferror(max(min(TTM!S160,0.5),-0.5),""))</f>
        <v/>
      </c>
      <c r="T160" s="14" t="str">
        <f>if(TTM!T160="","",iferror(max(min(TTM!T160,0.5),-0.5),""))</f>
        <v/>
      </c>
      <c r="U160" s="14" t="str">
        <f>if(TTM!U160="","",iferror(max(min(TTM!U160,0.5),-0.5),""))</f>
        <v/>
      </c>
      <c r="V160" s="14">
        <f>if(TTM!V160="","",iferror(max(min(TTM!V160,0.5),-0.5),""))</f>
        <v>-0.04772991851</v>
      </c>
      <c r="W160" s="14" t="str">
        <f>if(TTM!W160="","",iferror(max(min(TTM!W160,0.5),-0.5),""))</f>
        <v/>
      </c>
      <c r="X160" s="14">
        <f>if(TTM!X160="","",iferror(max(min(TTM!X160,0.5),-0.5),""))</f>
        <v>0.115115713</v>
      </c>
      <c r="Y160" s="14" t="str">
        <f>if(TTM!Y160="","",iferror(max(min(TTM!Y160,0.5),-0.5),""))</f>
        <v/>
      </c>
      <c r="Z160" s="14" t="str">
        <f>if(TTM!Z160="","",iferror(max(min(TTM!Z160,0.5),-0.5),""))</f>
        <v/>
      </c>
      <c r="AA160" s="14" t="str">
        <f>if(TTM!AA160="","",iferror(max(min(TTM!AA160,0.5),-0.5),""))</f>
        <v/>
      </c>
      <c r="AB160" s="14" t="str">
        <f>if(TTM!AB160="","",iferror(max(min(TTM!AB160,0.5),-0.5),""))</f>
        <v/>
      </c>
      <c r="AC160" s="14" t="str">
        <f>if(TTM!AC160="","",iferror(max(min(TTM!AC160,0.5),-0.5),""))</f>
        <v/>
      </c>
      <c r="AD160" s="12"/>
    </row>
    <row r="161">
      <c r="A161" s="15" t="s">
        <v>74</v>
      </c>
      <c r="B161" s="14" t="str">
        <f>if(TTM!B161="","",iferror(max(min(TTM!B161,0.5),-0.5),""))</f>
        <v/>
      </c>
      <c r="C161" s="14">
        <f>if(TTM!C161="","",iferror(max(min(TTM!C161,0.5),-0.5),""))</f>
        <v>0.1669177072</v>
      </c>
      <c r="D161" s="14">
        <f>if(TTM!D161="","",iferror(max(min(TTM!D161,0.5),-0.5),""))</f>
        <v>0.2481674469</v>
      </c>
      <c r="E161" s="14">
        <f>if(TTM!E161="","",iferror(max(min(TTM!E161,0.5),-0.5),""))</f>
        <v>0.3732424028</v>
      </c>
      <c r="F161" s="14" t="str">
        <f>if(TTM!F161="","",iferror(max(min(TTM!F161,0.5),-0.5),""))</f>
        <v/>
      </c>
      <c r="G161" s="14" t="str">
        <f>if(TTM!G161="","",iferror(max(min(TTM!G161,0.5),-0.5),""))</f>
        <v/>
      </c>
      <c r="H161" s="14" t="str">
        <f>if(TTM!H161="","",iferror(max(min(TTM!H161,0.5),-0.5),""))</f>
        <v/>
      </c>
      <c r="I161" s="14" t="str">
        <f>if(TTM!I161="","",iferror(max(min(TTM!I161,0.5),-0.5),""))</f>
        <v/>
      </c>
      <c r="J161" s="14" t="str">
        <f>if(TTM!J161="","",iferror(max(min(TTM!J161,0.5),-0.5),""))</f>
        <v/>
      </c>
      <c r="K161" s="14" t="str">
        <f>if(TTM!K161="","",iferror(max(min(TTM!K161,0.5),-0.5),""))</f>
        <v/>
      </c>
      <c r="L161" s="14" t="str">
        <f>if(TTM!L161="","",iferror(max(min(TTM!L161,0.5),-0.5),""))</f>
        <v/>
      </c>
      <c r="M161" s="14" t="str">
        <f>if(TTM!M161="","",iferror(max(min(TTM!M161,0.5),-0.5),""))</f>
        <v/>
      </c>
      <c r="N161" s="14" t="str">
        <f>if(TTM!N161="","",iferror(max(min(TTM!N161,0.5),-0.5),""))</f>
        <v/>
      </c>
      <c r="O161" s="14">
        <f>if(TTM!O161="","",iferror(max(min(TTM!O161,0.5),-0.5),""))</f>
        <v>0.3309039454</v>
      </c>
      <c r="P161" s="14" t="str">
        <f>if(TTM!P161="","",iferror(max(min(TTM!P161,0.5),-0.5),""))</f>
        <v/>
      </c>
      <c r="Q161" s="14" t="str">
        <f>if(TTM!Q161="","",iferror(max(min(TTM!Q161,0.5),-0.5),""))</f>
        <v/>
      </c>
      <c r="R161" s="14"/>
      <c r="S161" s="14" t="str">
        <f>if(TTM!S161="","",iferror(max(min(TTM!S161,0.5),-0.5),""))</f>
        <v/>
      </c>
      <c r="T161" s="14" t="str">
        <f>if(TTM!T161="","",iferror(max(min(TTM!T161,0.5),-0.5),""))</f>
        <v/>
      </c>
      <c r="U161" s="14" t="str">
        <f>if(TTM!U161="","",iferror(max(min(TTM!U161,0.5),-0.5),""))</f>
        <v/>
      </c>
      <c r="V161" s="14">
        <f>if(TTM!V161="","",iferror(max(min(TTM!V161,0.5),-0.5),""))</f>
        <v>-0.1222916918</v>
      </c>
      <c r="W161" s="14" t="str">
        <f>if(TTM!W161="","",iferror(max(min(TTM!W161,0.5),-0.5),""))</f>
        <v/>
      </c>
      <c r="X161" s="14">
        <f>if(TTM!X161="","",iferror(max(min(TTM!X161,0.5),-0.5),""))</f>
        <v>0.1156121363</v>
      </c>
      <c r="Y161" s="14" t="str">
        <f>if(TTM!Y161="","",iferror(max(min(TTM!Y161,0.5),-0.5),""))</f>
        <v/>
      </c>
      <c r="Z161" s="14" t="str">
        <f>if(TTM!Z161="","",iferror(max(min(TTM!Z161,0.5),-0.5),""))</f>
        <v/>
      </c>
      <c r="AA161" s="14" t="str">
        <f>if(TTM!AA161="","",iferror(max(min(TTM!AA161,0.5),-0.5),""))</f>
        <v/>
      </c>
      <c r="AB161" s="14" t="str">
        <f>if(TTM!AB161="","",iferror(max(min(TTM!AB161,0.5),-0.5),""))</f>
        <v/>
      </c>
      <c r="AC161" s="14" t="str">
        <f>if(TTM!AC161="","",iferror(max(min(TTM!AC161,0.5),-0.5),""))</f>
        <v/>
      </c>
      <c r="AD161" s="12"/>
    </row>
    <row r="162">
      <c r="A162" s="15" t="s">
        <v>75</v>
      </c>
      <c r="B162" s="14" t="str">
        <f>if(TTM!B162="","",iferror(max(min(TTM!B162,0.5),-0.5),""))</f>
        <v/>
      </c>
      <c r="C162" s="14">
        <f>if(TTM!C162="","",iferror(max(min(TTM!C162,0.5),-0.5),""))</f>
        <v>0.1700894756</v>
      </c>
      <c r="D162" s="14">
        <f>if(TTM!D162="","",iferror(max(min(TTM!D162,0.5),-0.5),""))</f>
        <v>0.2463983005</v>
      </c>
      <c r="E162" s="14">
        <f>if(TTM!E162="","",iferror(max(min(TTM!E162,0.5),-0.5),""))</f>
        <v>0.3690564219</v>
      </c>
      <c r="F162" s="14" t="str">
        <f>if(TTM!F162="","",iferror(max(min(TTM!F162,0.5),-0.5),""))</f>
        <v/>
      </c>
      <c r="G162" s="14" t="str">
        <f>if(TTM!G162="","",iferror(max(min(TTM!G162,0.5),-0.5),""))</f>
        <v/>
      </c>
      <c r="H162" s="14" t="str">
        <f>if(TTM!H162="","",iferror(max(min(TTM!H162,0.5),-0.5),""))</f>
        <v/>
      </c>
      <c r="I162" s="14" t="str">
        <f>if(TTM!I162="","",iferror(max(min(TTM!I162,0.5),-0.5),""))</f>
        <v/>
      </c>
      <c r="J162" s="14" t="str">
        <f>if(TTM!J162="","",iferror(max(min(TTM!J162,0.5),-0.5),""))</f>
        <v/>
      </c>
      <c r="K162" s="14" t="str">
        <f>if(TTM!K162="","",iferror(max(min(TTM!K162,0.5),-0.5),""))</f>
        <v/>
      </c>
      <c r="L162" s="14" t="str">
        <f>if(TTM!L162="","",iferror(max(min(TTM!L162,0.5),-0.5),""))</f>
        <v/>
      </c>
      <c r="M162" s="14" t="str">
        <f>if(TTM!M162="","",iferror(max(min(TTM!M162,0.5),-0.5),""))</f>
        <v/>
      </c>
      <c r="N162" s="14" t="str">
        <f>if(TTM!N162="","",iferror(max(min(TTM!N162,0.5),-0.5),""))</f>
        <v/>
      </c>
      <c r="O162" s="14">
        <f>if(TTM!O162="","",iferror(max(min(TTM!O162,0.5),-0.5),""))</f>
        <v>0.3518812931</v>
      </c>
      <c r="P162" s="14" t="str">
        <f>if(TTM!P162="","",iferror(max(min(TTM!P162,0.5),-0.5),""))</f>
        <v/>
      </c>
      <c r="Q162" s="14" t="str">
        <f>if(TTM!Q162="","",iferror(max(min(TTM!Q162,0.5),-0.5),""))</f>
        <v/>
      </c>
      <c r="R162" s="14"/>
      <c r="S162" s="14" t="str">
        <f>if(TTM!S162="","",iferror(max(min(TTM!S162,0.5),-0.5),""))</f>
        <v/>
      </c>
      <c r="T162" s="14" t="str">
        <f>if(TTM!T162="","",iferror(max(min(TTM!T162,0.5),-0.5),""))</f>
        <v/>
      </c>
      <c r="U162" s="14" t="str">
        <f>if(TTM!U162="","",iferror(max(min(TTM!U162,0.5),-0.5),""))</f>
        <v/>
      </c>
      <c r="V162" s="14">
        <f>if(TTM!V162="","",iferror(max(min(TTM!V162,0.5),-0.5),""))</f>
        <v>-0.196853465</v>
      </c>
      <c r="W162" s="14" t="str">
        <f>if(TTM!W162="","",iferror(max(min(TTM!W162,0.5),-0.5),""))</f>
        <v/>
      </c>
      <c r="X162" s="14">
        <f>if(TTM!X162="","",iferror(max(min(TTM!X162,0.5),-0.5),""))</f>
        <v>0.1161085596</v>
      </c>
      <c r="Y162" s="14" t="str">
        <f>if(TTM!Y162="","",iferror(max(min(TTM!Y162,0.5),-0.5),""))</f>
        <v/>
      </c>
      <c r="Z162" s="14" t="str">
        <f>if(TTM!Z162="","",iferror(max(min(TTM!Z162,0.5),-0.5),""))</f>
        <v/>
      </c>
      <c r="AA162" s="14" t="str">
        <f>if(TTM!AA162="","",iferror(max(min(TTM!AA162,0.5),-0.5),""))</f>
        <v/>
      </c>
      <c r="AB162" s="14" t="str">
        <f>if(TTM!AB162="","",iferror(max(min(TTM!AB162,0.5),-0.5),""))</f>
        <v/>
      </c>
      <c r="AC162" s="14" t="str">
        <f>if(TTM!AC162="","",iferror(max(min(TTM!AC162,0.5),-0.5),""))</f>
        <v/>
      </c>
      <c r="AD162" s="12"/>
    </row>
    <row r="163">
      <c r="A163" s="15" t="s">
        <v>76</v>
      </c>
      <c r="B163" s="14" t="str">
        <f>if(TTM!B163="","",iferror(max(min(TTM!B163,0.5),-0.5),""))</f>
        <v/>
      </c>
      <c r="C163" s="14">
        <f>if(TTM!C163="","",iferror(max(min(TTM!C163,0.5),-0.5),""))</f>
        <v>0.1732612439</v>
      </c>
      <c r="D163" s="14">
        <f>if(TTM!D163="","",iferror(max(min(TTM!D163,0.5),-0.5),""))</f>
        <v>0.2446291541</v>
      </c>
      <c r="E163" s="14">
        <f>if(TTM!E163="","",iferror(max(min(TTM!E163,0.5),-0.5),""))</f>
        <v>0.364870441</v>
      </c>
      <c r="F163" s="14" t="str">
        <f>if(TTM!F163="","",iferror(max(min(TTM!F163,0.5),-0.5),""))</f>
        <v/>
      </c>
      <c r="G163" s="14" t="str">
        <f>if(TTM!G163="","",iferror(max(min(TTM!G163,0.5),-0.5),""))</f>
        <v/>
      </c>
      <c r="H163" s="14" t="str">
        <f>if(TTM!H163="","",iferror(max(min(TTM!H163,0.5),-0.5),""))</f>
        <v/>
      </c>
      <c r="I163" s="14" t="str">
        <f>if(TTM!I163="","",iferror(max(min(TTM!I163,0.5),-0.5),""))</f>
        <v/>
      </c>
      <c r="J163" s="14" t="str">
        <f>if(TTM!J163="","",iferror(max(min(TTM!J163,0.5),-0.5),""))</f>
        <v/>
      </c>
      <c r="K163" s="14" t="str">
        <f>if(TTM!K163="","",iferror(max(min(TTM!K163,0.5),-0.5),""))</f>
        <v/>
      </c>
      <c r="L163" s="14" t="str">
        <f>if(TTM!L163="","",iferror(max(min(TTM!L163,0.5),-0.5),""))</f>
        <v/>
      </c>
      <c r="M163" s="14" t="str">
        <f>if(TTM!M163="","",iferror(max(min(TTM!M163,0.5),-0.5),""))</f>
        <v/>
      </c>
      <c r="N163" s="14" t="str">
        <f>if(TTM!N163="","",iferror(max(min(TTM!N163,0.5),-0.5),""))</f>
        <v/>
      </c>
      <c r="O163" s="14">
        <f>if(TTM!O163="","",iferror(max(min(TTM!O163,0.5),-0.5),""))</f>
        <v>0.3492481877</v>
      </c>
      <c r="P163" s="14" t="str">
        <f>if(TTM!P163="","",iferror(max(min(TTM!P163,0.5),-0.5),""))</f>
        <v/>
      </c>
      <c r="Q163" s="14" t="str">
        <f>if(TTM!Q163="","",iferror(max(min(TTM!Q163,0.5),-0.5),""))</f>
        <v/>
      </c>
      <c r="R163" s="14"/>
      <c r="S163" s="14" t="str">
        <f>if(TTM!S163="","",iferror(max(min(TTM!S163,0.5),-0.5),""))</f>
        <v/>
      </c>
      <c r="T163" s="14" t="str">
        <f>if(TTM!T163="","",iferror(max(min(TTM!T163,0.5),-0.5),""))</f>
        <v/>
      </c>
      <c r="U163" s="14" t="str">
        <f>if(TTM!U163="","",iferror(max(min(TTM!U163,0.5),-0.5),""))</f>
        <v/>
      </c>
      <c r="V163" s="14">
        <f>if(TTM!V163="","",iferror(max(min(TTM!V163,0.5),-0.5),""))</f>
        <v>-0.2714152382</v>
      </c>
      <c r="W163" s="14" t="str">
        <f>if(TTM!W163="","",iferror(max(min(TTM!W163,0.5),-0.5),""))</f>
        <v/>
      </c>
      <c r="X163" s="14">
        <f>if(TTM!X163="","",iferror(max(min(TTM!X163,0.5),-0.5),""))</f>
        <v>0.12819321</v>
      </c>
      <c r="Y163" s="14" t="str">
        <f>if(TTM!Y163="","",iferror(max(min(TTM!Y163,0.5),-0.5),""))</f>
        <v/>
      </c>
      <c r="Z163" s="14" t="str">
        <f>if(TTM!Z163="","",iferror(max(min(TTM!Z163,0.5),-0.5),""))</f>
        <v/>
      </c>
      <c r="AA163" s="14" t="str">
        <f>if(TTM!AA163="","",iferror(max(min(TTM!AA163,0.5),-0.5),""))</f>
        <v/>
      </c>
      <c r="AB163" s="14" t="str">
        <f>if(TTM!AB163="","",iferror(max(min(TTM!AB163,0.5),-0.5),""))</f>
        <v/>
      </c>
      <c r="AC163" s="14" t="str">
        <f>if(TTM!AC163="","",iferror(max(min(TTM!AC163,0.5),-0.5),""))</f>
        <v/>
      </c>
      <c r="AD163" s="12"/>
    </row>
    <row r="164">
      <c r="A164" s="15" t="s">
        <v>77</v>
      </c>
      <c r="B164" s="14" t="str">
        <f>if(TTM!B164="","",iferror(max(min(TTM!B164,0.5),-0.5),""))</f>
        <v/>
      </c>
      <c r="C164" s="14">
        <f>if(TTM!C164="","",iferror(max(min(TTM!C164,0.5),-0.5),""))</f>
        <v>0.1764330122</v>
      </c>
      <c r="D164" s="14">
        <f>if(TTM!D164="","",iferror(max(min(TTM!D164,0.5),-0.5),""))</f>
        <v>0.2428600078</v>
      </c>
      <c r="E164" s="14">
        <f>if(TTM!E164="","",iferror(max(min(TTM!E164,0.5),-0.5),""))</f>
        <v>0.36068446</v>
      </c>
      <c r="F164" s="14" t="str">
        <f>if(TTM!F164="","",iferror(max(min(TTM!F164,0.5),-0.5),""))</f>
        <v/>
      </c>
      <c r="G164" s="14" t="str">
        <f>if(TTM!G164="","",iferror(max(min(TTM!G164,0.5),-0.5),""))</f>
        <v/>
      </c>
      <c r="H164" s="14" t="str">
        <f>if(TTM!H164="","",iferror(max(min(TTM!H164,0.5),-0.5),""))</f>
        <v/>
      </c>
      <c r="I164" s="14" t="str">
        <f>if(TTM!I164="","",iferror(max(min(TTM!I164,0.5),-0.5),""))</f>
        <v/>
      </c>
      <c r="J164" s="14" t="str">
        <f>if(TTM!J164="","",iferror(max(min(TTM!J164,0.5),-0.5),""))</f>
        <v/>
      </c>
      <c r="K164" s="14" t="str">
        <f>if(TTM!K164="","",iferror(max(min(TTM!K164,0.5),-0.5),""))</f>
        <v/>
      </c>
      <c r="L164" s="14" t="str">
        <f>if(TTM!L164="","",iferror(max(min(TTM!L164,0.5),-0.5),""))</f>
        <v/>
      </c>
      <c r="M164" s="14" t="str">
        <f>if(TTM!M164="","",iferror(max(min(TTM!M164,0.5),-0.5),""))</f>
        <v/>
      </c>
      <c r="N164" s="14" t="str">
        <f>if(TTM!N164="","",iferror(max(min(TTM!N164,0.5),-0.5),""))</f>
        <v/>
      </c>
      <c r="O164" s="14">
        <f>if(TTM!O164="","",iferror(max(min(TTM!O164,0.5),-0.5),""))</f>
        <v>0.3466150823</v>
      </c>
      <c r="P164" s="14" t="str">
        <f>if(TTM!P164="","",iferror(max(min(TTM!P164,0.5),-0.5),""))</f>
        <v/>
      </c>
      <c r="Q164" s="14" t="str">
        <f>if(TTM!Q164="","",iferror(max(min(TTM!Q164,0.5),-0.5),""))</f>
        <v/>
      </c>
      <c r="R164" s="14"/>
      <c r="S164" s="14" t="str">
        <f>if(TTM!S164="","",iferror(max(min(TTM!S164,0.5),-0.5),""))</f>
        <v/>
      </c>
      <c r="T164" s="14" t="str">
        <f>if(TTM!T164="","",iferror(max(min(TTM!T164,0.5),-0.5),""))</f>
        <v/>
      </c>
      <c r="U164" s="14" t="str">
        <f>if(TTM!U164="","",iferror(max(min(TTM!U164,0.5),-0.5),""))</f>
        <v/>
      </c>
      <c r="V164" s="14">
        <f>if(TTM!V164="","",iferror(max(min(TTM!V164,0.5),-0.5),""))</f>
        <v>-0.3459770115</v>
      </c>
      <c r="W164" s="14" t="str">
        <f>if(TTM!W164="","",iferror(max(min(TTM!W164,0.5),-0.5),""))</f>
        <v/>
      </c>
      <c r="X164" s="14">
        <f>if(TTM!X164="","",iferror(max(min(TTM!X164,0.5),-0.5),""))</f>
        <v>0.1402778604</v>
      </c>
      <c r="Y164" s="14" t="str">
        <f>if(TTM!Y164="","",iferror(max(min(TTM!Y164,0.5),-0.5),""))</f>
        <v/>
      </c>
      <c r="Z164" s="14" t="str">
        <f>if(TTM!Z164="","",iferror(max(min(TTM!Z164,0.5),-0.5),""))</f>
        <v/>
      </c>
      <c r="AA164" s="14" t="str">
        <f>if(TTM!AA164="","",iferror(max(min(TTM!AA164,0.5),-0.5),""))</f>
        <v/>
      </c>
      <c r="AB164" s="14" t="str">
        <f>if(TTM!AB164="","",iferror(max(min(TTM!AB164,0.5),-0.5),""))</f>
        <v/>
      </c>
      <c r="AC164" s="14" t="str">
        <f>if(TTM!AC164="","",iferror(max(min(TTM!AC164,0.5),-0.5),""))</f>
        <v/>
      </c>
      <c r="AD164" s="12"/>
    </row>
    <row r="165">
      <c r="A165" s="15" t="s">
        <v>78</v>
      </c>
      <c r="B165" s="14" t="str">
        <f>if(TTM!B165="","",iferror(max(min(TTM!B165,0.5),-0.5),""))</f>
        <v/>
      </c>
      <c r="C165" s="14">
        <f>if(TTM!C165="","",iferror(max(min(TTM!C165,0.5),-0.5),""))</f>
        <v>0.186856598</v>
      </c>
      <c r="D165" s="14">
        <f>if(TTM!D165="","",iferror(max(min(TTM!D165,0.5),-0.5),""))</f>
        <v>0.2383996106</v>
      </c>
      <c r="E165" s="14">
        <f>if(TTM!E165="","",iferror(max(min(TTM!E165,0.5),-0.5),""))</f>
        <v>0.3683142189</v>
      </c>
      <c r="F165" s="14" t="str">
        <f>if(TTM!F165="","",iferror(max(min(TTM!F165,0.5),-0.5),""))</f>
        <v/>
      </c>
      <c r="G165" s="14" t="str">
        <f>if(TTM!G165="","",iferror(max(min(TTM!G165,0.5),-0.5),""))</f>
        <v/>
      </c>
      <c r="H165" s="14" t="str">
        <f>if(TTM!H165="","",iferror(max(min(TTM!H165,0.5),-0.5),""))</f>
        <v/>
      </c>
      <c r="I165" s="14" t="str">
        <f>if(TTM!I165="","",iferror(max(min(TTM!I165,0.5),-0.5),""))</f>
        <v/>
      </c>
      <c r="J165" s="14">
        <f>if(TTM!J165="","",iferror(max(min(TTM!J165,0.5),-0.5),""))</f>
        <v>-0.1286760415</v>
      </c>
      <c r="K165" s="14" t="str">
        <f>if(TTM!K165="","",iferror(max(min(TTM!K165,0.5),-0.5),""))</f>
        <v/>
      </c>
      <c r="L165" s="14" t="str">
        <f>if(TTM!L165="","",iferror(max(min(TTM!L165,0.5),-0.5),""))</f>
        <v/>
      </c>
      <c r="M165" s="14" t="str">
        <f>if(TTM!M165="","",iferror(max(min(TTM!M165,0.5),-0.5),""))</f>
        <v/>
      </c>
      <c r="N165" s="14" t="str">
        <f>if(TTM!N165="","",iferror(max(min(TTM!N165,0.5),-0.5),""))</f>
        <v/>
      </c>
      <c r="O165" s="14">
        <f>if(TTM!O165="","",iferror(max(min(TTM!O165,0.5),-0.5),""))</f>
        <v>0.343981977</v>
      </c>
      <c r="P165" s="14" t="str">
        <f>if(TTM!P165="","",iferror(max(min(TTM!P165,0.5),-0.5),""))</f>
        <v/>
      </c>
      <c r="Q165" s="14" t="str">
        <f>if(TTM!Q165="","",iferror(max(min(TTM!Q165,0.5),-0.5),""))</f>
        <v/>
      </c>
      <c r="R165" s="14"/>
      <c r="S165" s="14" t="str">
        <f>if(TTM!S165="","",iferror(max(min(TTM!S165,0.5),-0.5),""))</f>
        <v/>
      </c>
      <c r="T165" s="14" t="str">
        <f>if(TTM!T165="","",iferror(max(min(TTM!T165,0.5),-0.5),""))</f>
        <v/>
      </c>
      <c r="U165" s="14" t="str">
        <f>if(TTM!U165="","",iferror(max(min(TTM!U165,0.5),-0.5),""))</f>
        <v/>
      </c>
      <c r="V165" s="14">
        <f>if(TTM!V165="","",iferror(max(min(TTM!V165,0.5),-0.5),""))</f>
        <v>-0.3705938697</v>
      </c>
      <c r="W165" s="14" t="str">
        <f>if(TTM!W165="","",iferror(max(min(TTM!W165,0.5),-0.5),""))</f>
        <v/>
      </c>
      <c r="X165" s="14">
        <f>if(TTM!X165="","",iferror(max(min(TTM!X165,0.5),-0.5),""))</f>
        <v>0.1523625108</v>
      </c>
      <c r="Y165" s="14" t="str">
        <f>if(TTM!Y165="","",iferror(max(min(TTM!Y165,0.5),-0.5),""))</f>
        <v/>
      </c>
      <c r="Z165" s="14" t="str">
        <f>if(TTM!Z165="","",iferror(max(min(TTM!Z165,0.5),-0.5),""))</f>
        <v/>
      </c>
      <c r="AA165" s="14" t="str">
        <f>if(TTM!AA165="","",iferror(max(min(TTM!AA165,0.5),-0.5),""))</f>
        <v/>
      </c>
      <c r="AB165" s="14" t="str">
        <f>if(TTM!AB165="","",iferror(max(min(TTM!AB165,0.5),-0.5),""))</f>
        <v/>
      </c>
      <c r="AC165" s="14" t="str">
        <f>if(TTM!AC165="","",iferror(max(min(TTM!AC165,0.5),-0.5),""))</f>
        <v/>
      </c>
      <c r="AD165" s="12"/>
    </row>
    <row r="166">
      <c r="A166" s="15" t="s">
        <v>79</v>
      </c>
      <c r="B166" s="14" t="str">
        <f>if(TTM!B166="","",iferror(max(min(TTM!B166,0.5),-0.5),""))</f>
        <v/>
      </c>
      <c r="C166" s="14">
        <f>if(TTM!C166="","",iferror(max(min(TTM!C166,0.5),-0.5),""))</f>
        <v>0.1972801838</v>
      </c>
      <c r="D166" s="14">
        <f>if(TTM!D166="","",iferror(max(min(TTM!D166,0.5),-0.5),""))</f>
        <v>0.2339392135</v>
      </c>
      <c r="E166" s="14">
        <f>if(TTM!E166="","",iferror(max(min(TTM!E166,0.5),-0.5),""))</f>
        <v>0.3759439777</v>
      </c>
      <c r="F166" s="14" t="str">
        <f>if(TTM!F166="","",iferror(max(min(TTM!F166,0.5),-0.5),""))</f>
        <v/>
      </c>
      <c r="G166" s="14" t="str">
        <f>if(TTM!G166="","",iferror(max(min(TTM!G166,0.5),-0.5),""))</f>
        <v/>
      </c>
      <c r="H166" s="14" t="str">
        <f>if(TTM!H166="","",iferror(max(min(TTM!H166,0.5),-0.5),""))</f>
        <v/>
      </c>
      <c r="I166" s="14" t="str">
        <f>if(TTM!I166="","",iferror(max(min(TTM!I166,0.5),-0.5),""))</f>
        <v/>
      </c>
      <c r="J166" s="14">
        <f>if(TTM!J166="","",iferror(max(min(TTM!J166,0.5),-0.5),""))</f>
        <v>-0.1097131106</v>
      </c>
      <c r="K166" s="14" t="str">
        <f>if(TTM!K166="","",iferror(max(min(TTM!K166,0.5),-0.5),""))</f>
        <v/>
      </c>
      <c r="L166" s="14" t="str">
        <f>if(TTM!L166="","",iferror(max(min(TTM!L166,0.5),-0.5),""))</f>
        <v/>
      </c>
      <c r="M166" s="14" t="str">
        <f>if(TTM!M166="","",iferror(max(min(TTM!M166,0.5),-0.5),""))</f>
        <v/>
      </c>
      <c r="N166" s="14" t="str">
        <f>if(TTM!N166="","",iferror(max(min(TTM!N166,0.5),-0.5),""))</f>
        <v/>
      </c>
      <c r="O166" s="14">
        <f>if(TTM!O166="","",iferror(max(min(TTM!O166,0.5),-0.5),""))</f>
        <v>0.3413488716</v>
      </c>
      <c r="P166" s="14" t="str">
        <f>if(TTM!P166="","",iferror(max(min(TTM!P166,0.5),-0.5),""))</f>
        <v/>
      </c>
      <c r="Q166" s="14" t="str">
        <f>if(TTM!Q166="","",iferror(max(min(TTM!Q166,0.5),-0.5),""))</f>
        <v/>
      </c>
      <c r="R166" s="14"/>
      <c r="S166" s="14" t="str">
        <f>if(TTM!S166="","",iferror(max(min(TTM!S166,0.5),-0.5),""))</f>
        <v/>
      </c>
      <c r="T166" s="14" t="str">
        <f>if(TTM!T166="","",iferror(max(min(TTM!T166,0.5),-0.5),""))</f>
        <v/>
      </c>
      <c r="U166" s="14" t="str">
        <f>if(TTM!U166="","",iferror(max(min(TTM!U166,0.5),-0.5),""))</f>
        <v/>
      </c>
      <c r="V166" s="14">
        <f>if(TTM!V166="","",iferror(max(min(TTM!V166,0.5),-0.5),""))</f>
        <v>-0.395210728</v>
      </c>
      <c r="W166" s="14" t="str">
        <f>if(TTM!W166="","",iferror(max(min(TTM!W166,0.5),-0.5),""))</f>
        <v/>
      </c>
      <c r="X166" s="14">
        <f>if(TTM!X166="","",iferror(max(min(TTM!X166,0.5),-0.5),""))</f>
        <v>0.1644471612</v>
      </c>
      <c r="Y166" s="14" t="str">
        <f>if(TTM!Y166="","",iferror(max(min(TTM!Y166,0.5),-0.5),""))</f>
        <v/>
      </c>
      <c r="Z166" s="14" t="str">
        <f>if(TTM!Z166="","",iferror(max(min(TTM!Z166,0.5),-0.5),""))</f>
        <v/>
      </c>
      <c r="AA166" s="14" t="str">
        <f>if(TTM!AA166="","",iferror(max(min(TTM!AA166,0.5),-0.5),""))</f>
        <v/>
      </c>
      <c r="AB166" s="14" t="str">
        <f>if(TTM!AB166="","",iferror(max(min(TTM!AB166,0.5),-0.5),""))</f>
        <v/>
      </c>
      <c r="AC166" s="14" t="str">
        <f>if(TTM!AC166="","",iferror(max(min(TTM!AC166,0.5),-0.5),""))</f>
        <v/>
      </c>
      <c r="AD166" s="12"/>
    </row>
    <row r="167">
      <c r="A167" s="15" t="s">
        <v>80</v>
      </c>
      <c r="B167" s="14" t="str">
        <f>if(TTM!B167="","",iferror(max(min(TTM!B167,0.5),-0.5),""))</f>
        <v/>
      </c>
      <c r="C167" s="14">
        <f>if(TTM!C167="","",iferror(max(min(TTM!C167,0.5),-0.5),""))</f>
        <v>0.2077037696</v>
      </c>
      <c r="D167" s="14">
        <f>if(TTM!D167="","",iferror(max(min(TTM!D167,0.5),-0.5),""))</f>
        <v>0.2294788164</v>
      </c>
      <c r="E167" s="14">
        <f>if(TTM!E167="","",iferror(max(min(TTM!E167,0.5),-0.5),""))</f>
        <v>0.3835737366</v>
      </c>
      <c r="F167" s="14" t="str">
        <f>if(TTM!F167="","",iferror(max(min(TTM!F167,0.5),-0.5),""))</f>
        <v/>
      </c>
      <c r="G167" s="14" t="str">
        <f>if(TTM!G167="","",iferror(max(min(TTM!G167,0.5),-0.5),""))</f>
        <v/>
      </c>
      <c r="H167" s="14" t="str">
        <f>if(TTM!H167="","",iferror(max(min(TTM!H167,0.5),-0.5),""))</f>
        <v/>
      </c>
      <c r="I167" s="14" t="str">
        <f>if(TTM!I167="","",iferror(max(min(TTM!I167,0.5),-0.5),""))</f>
        <v/>
      </c>
      <c r="J167" s="14">
        <f>if(TTM!J167="","",iferror(max(min(TTM!J167,0.5),-0.5),""))</f>
        <v>-0.0907501797</v>
      </c>
      <c r="K167" s="14" t="str">
        <f>if(TTM!K167="","",iferror(max(min(TTM!K167,0.5),-0.5),""))</f>
        <v/>
      </c>
      <c r="L167" s="14" t="str">
        <f>if(TTM!L167="","",iferror(max(min(TTM!L167,0.5),-0.5),""))</f>
        <v/>
      </c>
      <c r="M167" s="14" t="str">
        <f>if(TTM!M167="","",iferror(max(min(TTM!M167,0.5),-0.5),""))</f>
        <v/>
      </c>
      <c r="N167" s="14" t="str">
        <f>if(TTM!N167="","",iferror(max(min(TTM!N167,0.5),-0.5),""))</f>
        <v/>
      </c>
      <c r="O167" s="14">
        <f>if(TTM!O167="","",iferror(max(min(TTM!O167,0.5),-0.5),""))</f>
        <v>0.3440838743</v>
      </c>
      <c r="P167" s="14" t="str">
        <f>if(TTM!P167="","",iferror(max(min(TTM!P167,0.5),-0.5),""))</f>
        <v/>
      </c>
      <c r="Q167" s="14" t="str">
        <f>if(TTM!Q167="","",iferror(max(min(TTM!Q167,0.5),-0.5),""))</f>
        <v/>
      </c>
      <c r="R167" s="14"/>
      <c r="S167" s="14" t="str">
        <f>if(TTM!S167="","",iferror(max(min(TTM!S167,0.5),-0.5),""))</f>
        <v/>
      </c>
      <c r="T167" s="14" t="str">
        <f>if(TTM!T167="","",iferror(max(min(TTM!T167,0.5),-0.5),""))</f>
        <v/>
      </c>
      <c r="U167" s="14" t="str">
        <f>if(TTM!U167="","",iferror(max(min(TTM!U167,0.5),-0.5),""))</f>
        <v/>
      </c>
      <c r="V167" s="14">
        <f>if(TTM!V167="","",iferror(max(min(TTM!V167,0.5),-0.5),""))</f>
        <v>-0.4198275862</v>
      </c>
      <c r="W167" s="14" t="str">
        <f>if(TTM!W167="","",iferror(max(min(TTM!W167,0.5),-0.5),""))</f>
        <v/>
      </c>
      <c r="X167" s="14">
        <f>if(TTM!X167="","",iferror(max(min(TTM!X167,0.5),-0.5),""))</f>
        <v>0.1387118627</v>
      </c>
      <c r="Y167" s="14" t="str">
        <f>if(TTM!Y167="","",iferror(max(min(TTM!Y167,0.5),-0.5),""))</f>
        <v/>
      </c>
      <c r="Z167" s="14" t="str">
        <f>if(TTM!Z167="","",iferror(max(min(TTM!Z167,0.5),-0.5),""))</f>
        <v/>
      </c>
      <c r="AA167" s="14" t="str">
        <f>if(TTM!AA167="","",iferror(max(min(TTM!AA167,0.5),-0.5),""))</f>
        <v/>
      </c>
      <c r="AB167" s="14" t="str">
        <f>if(TTM!AB167="","",iferror(max(min(TTM!AB167,0.5),-0.5),""))</f>
        <v/>
      </c>
      <c r="AC167" s="14" t="str">
        <f>if(TTM!AC167="","",iferror(max(min(TTM!AC167,0.5),-0.5),""))</f>
        <v/>
      </c>
      <c r="AD167" s="12"/>
    </row>
    <row r="168">
      <c r="A168" s="15" t="s">
        <v>81</v>
      </c>
      <c r="B168" s="14" t="str">
        <f>if(TTM!B168="","",iferror(max(min(TTM!B168,0.5),-0.5),""))</f>
        <v/>
      </c>
      <c r="C168" s="14">
        <f>if(TTM!C168="","",iferror(max(min(TTM!C168,0.5),-0.5),""))</f>
        <v>0.2181273554</v>
      </c>
      <c r="D168" s="14">
        <f>if(TTM!D168="","",iferror(max(min(TTM!D168,0.5),-0.5),""))</f>
        <v>0.2250184193</v>
      </c>
      <c r="E168" s="14">
        <f>if(TTM!E168="","",iferror(max(min(TTM!E168,0.5),-0.5),""))</f>
        <v>0.3912034954</v>
      </c>
      <c r="F168" s="14">
        <f>if(TTM!F168="","",iferror(max(min(TTM!F168,0.5),-0.5),""))</f>
        <v>0.5</v>
      </c>
      <c r="G168" s="14" t="str">
        <f>if(TTM!G168="","",iferror(max(min(TTM!G168,0.5),-0.5),""))</f>
        <v/>
      </c>
      <c r="H168" s="14" t="str">
        <f>if(TTM!H168="","",iferror(max(min(TTM!H168,0.5),-0.5),""))</f>
        <v/>
      </c>
      <c r="I168" s="14" t="str">
        <f>if(TTM!I168="","",iferror(max(min(TTM!I168,0.5),-0.5),""))</f>
        <v/>
      </c>
      <c r="J168" s="14">
        <f>if(TTM!J168="","",iferror(max(min(TTM!J168,0.5),-0.5),""))</f>
        <v>-0.07178724878</v>
      </c>
      <c r="K168" s="14" t="str">
        <f>if(TTM!K168="","",iferror(max(min(TTM!K168,0.5),-0.5),""))</f>
        <v/>
      </c>
      <c r="L168" s="14" t="str">
        <f>if(TTM!L168="","",iferror(max(min(TTM!L168,0.5),-0.5),""))</f>
        <v/>
      </c>
      <c r="M168" s="14" t="str">
        <f>if(TTM!M168="","",iferror(max(min(TTM!M168,0.5),-0.5),""))</f>
        <v/>
      </c>
      <c r="N168" s="14" t="str">
        <f>if(TTM!N168="","",iferror(max(min(TTM!N168,0.5),-0.5),""))</f>
        <v/>
      </c>
      <c r="O168" s="14">
        <f>if(TTM!O168="","",iferror(max(min(TTM!O168,0.5),-0.5),""))</f>
        <v>0.3468188771</v>
      </c>
      <c r="P168" s="14" t="str">
        <f>if(TTM!P168="","",iferror(max(min(TTM!P168,0.5),-0.5),""))</f>
        <v/>
      </c>
      <c r="Q168" s="14" t="str">
        <f>if(TTM!Q168="","",iferror(max(min(TTM!Q168,0.5),-0.5),""))</f>
        <v/>
      </c>
      <c r="R168" s="14"/>
      <c r="S168" s="14" t="str">
        <f>if(TTM!S168="","",iferror(max(min(TTM!S168,0.5),-0.5),""))</f>
        <v/>
      </c>
      <c r="T168" s="14" t="str">
        <f>if(TTM!T168="","",iferror(max(min(TTM!T168,0.5),-0.5),""))</f>
        <v/>
      </c>
      <c r="U168" s="14" t="str">
        <f>if(TTM!U168="","",iferror(max(min(TTM!U168,0.5),-0.5),""))</f>
        <v/>
      </c>
      <c r="V168" s="14">
        <f>if(TTM!V168="","",iferror(max(min(TTM!V168,0.5),-0.5),""))</f>
        <v>-0.4444444444</v>
      </c>
      <c r="W168" s="14" t="str">
        <f>if(TTM!W168="","",iferror(max(min(TTM!W168,0.5),-0.5),""))</f>
        <v/>
      </c>
      <c r="X168" s="14">
        <f>if(TTM!X168="","",iferror(max(min(TTM!X168,0.5),-0.5),""))</f>
        <v>0.1129765642</v>
      </c>
      <c r="Y168" s="14" t="str">
        <f>if(TTM!Y168="","",iferror(max(min(TTM!Y168,0.5),-0.5),""))</f>
        <v/>
      </c>
      <c r="Z168" s="14" t="str">
        <f>if(TTM!Z168="","",iferror(max(min(TTM!Z168,0.5),-0.5),""))</f>
        <v/>
      </c>
      <c r="AA168" s="14" t="str">
        <f>if(TTM!AA168="","",iferror(max(min(TTM!AA168,0.5),-0.5),""))</f>
        <v/>
      </c>
      <c r="AB168" s="14" t="str">
        <f>if(TTM!AB168="","",iferror(max(min(TTM!AB168,0.5),-0.5),""))</f>
        <v/>
      </c>
      <c r="AC168" s="14" t="str">
        <f>if(TTM!AC168="","",iferror(max(min(TTM!AC168,0.5),-0.5),""))</f>
        <v/>
      </c>
      <c r="AD168" s="12"/>
    </row>
    <row r="169">
      <c r="A169" s="15" t="s">
        <v>82</v>
      </c>
      <c r="B169" s="14" t="str">
        <f>if(TTM!B169="","",iferror(max(min(TTM!B169,0.5),-0.5),""))</f>
        <v/>
      </c>
      <c r="C169" s="14">
        <f>if(TTM!C169="","",iferror(max(min(TTM!C169,0.5),-0.5),""))</f>
        <v>0.2314469577</v>
      </c>
      <c r="D169" s="14">
        <f>if(TTM!D169="","",iferror(max(min(TTM!D169,0.5),-0.5),""))</f>
        <v>0.2224553308</v>
      </c>
      <c r="E169" s="14">
        <f>if(TTM!E169="","",iferror(max(min(TTM!E169,0.5),-0.5),""))</f>
        <v>0.3962362819</v>
      </c>
      <c r="F169" s="14">
        <f>if(TTM!F169="","",iferror(max(min(TTM!F169,0.5),-0.5),""))</f>
        <v>0.5</v>
      </c>
      <c r="G169" s="14" t="str">
        <f>if(TTM!G169="","",iferror(max(min(TTM!G169,0.5),-0.5),""))</f>
        <v/>
      </c>
      <c r="H169" s="14" t="str">
        <f>if(TTM!H169="","",iferror(max(min(TTM!H169,0.5),-0.5),""))</f>
        <v/>
      </c>
      <c r="I169" s="14" t="str">
        <f>if(TTM!I169="","",iferror(max(min(TTM!I169,0.5),-0.5),""))</f>
        <v/>
      </c>
      <c r="J169" s="14">
        <f>if(TTM!J169="","",iferror(max(min(TTM!J169,0.5),-0.5),""))</f>
        <v>-0.05282431786</v>
      </c>
      <c r="K169" s="14" t="str">
        <f>if(TTM!K169="","",iferror(max(min(TTM!K169,0.5),-0.5),""))</f>
        <v/>
      </c>
      <c r="L169" s="14" t="str">
        <f>if(TTM!L169="","",iferror(max(min(TTM!L169,0.5),-0.5),""))</f>
        <v/>
      </c>
      <c r="M169" s="14" t="str">
        <f>if(TTM!M169="","",iferror(max(min(TTM!M169,0.5),-0.5),""))</f>
        <v/>
      </c>
      <c r="N169" s="14" t="str">
        <f>if(TTM!N169="","",iferror(max(min(TTM!N169,0.5),-0.5),""))</f>
        <v/>
      </c>
      <c r="O169" s="14">
        <f>if(TTM!O169="","",iferror(max(min(TTM!O169,0.5),-0.5),""))</f>
        <v>0.3495538798</v>
      </c>
      <c r="P169" s="14" t="str">
        <f>if(TTM!P169="","",iferror(max(min(TTM!P169,0.5),-0.5),""))</f>
        <v/>
      </c>
      <c r="Q169" s="14" t="str">
        <f>if(TTM!Q169="","",iferror(max(min(TTM!Q169,0.5),-0.5),""))</f>
        <v/>
      </c>
      <c r="R169" s="14"/>
      <c r="S169" s="14" t="str">
        <f>if(TTM!S169="","",iferror(max(min(TTM!S169,0.5),-0.5),""))</f>
        <v/>
      </c>
      <c r="T169" s="14" t="str">
        <f>if(TTM!T169="","",iferror(max(min(TTM!T169,0.5),-0.5),""))</f>
        <v/>
      </c>
      <c r="U169" s="14" t="str">
        <f>if(TTM!U169="","",iferror(max(min(TTM!U169,0.5),-0.5),""))</f>
        <v/>
      </c>
      <c r="V169" s="14">
        <f>if(TTM!V169="","",iferror(max(min(TTM!V169,0.5),-0.5),""))</f>
        <v>-0.3517679731</v>
      </c>
      <c r="W169" s="14" t="str">
        <f>if(TTM!W169="","",iferror(max(min(TTM!W169,0.5),-0.5),""))</f>
        <v/>
      </c>
      <c r="X169" s="14">
        <f>if(TTM!X169="","",iferror(max(min(TTM!X169,0.5),-0.5),""))</f>
        <v>0.0872412657</v>
      </c>
      <c r="Y169" s="14" t="str">
        <f>if(TTM!Y169="","",iferror(max(min(TTM!Y169,0.5),-0.5),""))</f>
        <v/>
      </c>
      <c r="Z169" s="14" t="str">
        <f>if(TTM!Z169="","",iferror(max(min(TTM!Z169,0.5),-0.5),""))</f>
        <v/>
      </c>
      <c r="AA169" s="14" t="str">
        <f>if(TTM!AA169="","",iferror(max(min(TTM!AA169,0.5),-0.5),""))</f>
        <v/>
      </c>
      <c r="AB169" s="14" t="str">
        <f>if(TTM!AB169="","",iferror(max(min(TTM!AB169,0.5),-0.5),""))</f>
        <v/>
      </c>
      <c r="AC169" s="14" t="str">
        <f>if(TTM!AC169="","",iferror(max(min(TTM!AC169,0.5),-0.5),""))</f>
        <v/>
      </c>
      <c r="AD169" s="12"/>
    </row>
    <row r="170">
      <c r="A170" s="15" t="s">
        <v>83</v>
      </c>
      <c r="B170" s="14" t="str">
        <f>if(TTM!B170="","",iferror(max(min(TTM!B170,0.5),-0.5),""))</f>
        <v/>
      </c>
      <c r="C170" s="14">
        <f>if(TTM!C170="","",iferror(max(min(TTM!C170,0.5),-0.5),""))</f>
        <v>0.24476656</v>
      </c>
      <c r="D170" s="14">
        <f>if(TTM!D170="","",iferror(max(min(TTM!D170,0.5),-0.5),""))</f>
        <v>0.2198922423</v>
      </c>
      <c r="E170" s="14">
        <f>if(TTM!E170="","",iferror(max(min(TTM!E170,0.5),-0.5),""))</f>
        <v>0.4012690684</v>
      </c>
      <c r="F170" s="14">
        <f>if(TTM!F170="","",iferror(max(min(TTM!F170,0.5),-0.5),""))</f>
        <v>0.5</v>
      </c>
      <c r="G170" s="14" t="str">
        <f>if(TTM!G170="","",iferror(max(min(TTM!G170,0.5),-0.5),""))</f>
        <v/>
      </c>
      <c r="H170" s="14" t="str">
        <f>if(TTM!H170="","",iferror(max(min(TTM!H170,0.5),-0.5),""))</f>
        <v/>
      </c>
      <c r="I170" s="14" t="str">
        <f>if(TTM!I170="","",iferror(max(min(TTM!I170,0.5),-0.5),""))</f>
        <v/>
      </c>
      <c r="J170" s="14">
        <f>if(TTM!J170="","",iferror(max(min(TTM!J170,0.5),-0.5),""))</f>
        <v>-0.02747713946</v>
      </c>
      <c r="K170" s="14" t="str">
        <f>if(TTM!K170="","",iferror(max(min(TTM!K170,0.5),-0.5),""))</f>
        <v/>
      </c>
      <c r="L170" s="14" t="str">
        <f>if(TTM!L170="","",iferror(max(min(TTM!L170,0.5),-0.5),""))</f>
        <v/>
      </c>
      <c r="M170" s="14" t="str">
        <f>if(TTM!M170="","",iferror(max(min(TTM!M170,0.5),-0.5),""))</f>
        <v/>
      </c>
      <c r="N170" s="14" t="str">
        <f>if(TTM!N170="","",iferror(max(min(TTM!N170,0.5),-0.5),""))</f>
        <v/>
      </c>
      <c r="O170" s="14">
        <f>if(TTM!O170="","",iferror(max(min(TTM!O170,0.5),-0.5),""))</f>
        <v>0.3522888826</v>
      </c>
      <c r="P170" s="14" t="str">
        <f>if(TTM!P170="","",iferror(max(min(TTM!P170,0.5),-0.5),""))</f>
        <v/>
      </c>
      <c r="Q170" s="14" t="str">
        <f>if(TTM!Q170="","",iferror(max(min(TTM!Q170,0.5),-0.5),""))</f>
        <v/>
      </c>
      <c r="R170" s="14"/>
      <c r="S170" s="14" t="str">
        <f>if(TTM!S170="","",iferror(max(min(TTM!S170,0.5),-0.5),""))</f>
        <v/>
      </c>
      <c r="T170" s="14" t="str">
        <f>if(TTM!T170="","",iferror(max(min(TTM!T170,0.5),-0.5),""))</f>
        <v/>
      </c>
      <c r="U170" s="14" t="str">
        <f>if(TTM!U170="","",iferror(max(min(TTM!U170,0.5),-0.5),""))</f>
        <v/>
      </c>
      <c r="V170" s="14">
        <f>if(TTM!V170="","",iferror(max(min(TTM!V170,0.5),-0.5),""))</f>
        <v>-0.2590915018</v>
      </c>
      <c r="W170" s="14" t="str">
        <f>if(TTM!W170="","",iferror(max(min(TTM!W170,0.5),-0.5),""))</f>
        <v/>
      </c>
      <c r="X170" s="14">
        <f>if(TTM!X170="","",iferror(max(min(TTM!X170,0.5),-0.5),""))</f>
        <v>0.06150596719</v>
      </c>
      <c r="Y170" s="14" t="str">
        <f>if(TTM!Y170="","",iferror(max(min(TTM!Y170,0.5),-0.5),""))</f>
        <v/>
      </c>
      <c r="Z170" s="14" t="str">
        <f>if(TTM!Z170="","",iferror(max(min(TTM!Z170,0.5),-0.5),""))</f>
        <v/>
      </c>
      <c r="AA170" s="14" t="str">
        <f>if(TTM!AA170="","",iferror(max(min(TTM!AA170,0.5),-0.5),""))</f>
        <v/>
      </c>
      <c r="AB170" s="14" t="str">
        <f>if(TTM!AB170="","",iferror(max(min(TTM!AB170,0.5),-0.5),""))</f>
        <v/>
      </c>
      <c r="AC170" s="14" t="str">
        <f>if(TTM!AC170="","",iferror(max(min(TTM!AC170,0.5),-0.5),""))</f>
        <v/>
      </c>
      <c r="AD170" s="12"/>
    </row>
    <row r="171">
      <c r="A171" s="15" t="s">
        <v>84</v>
      </c>
      <c r="B171" s="14" t="str">
        <f>if(TTM!B171="","",iferror(max(min(TTM!B171,0.5),-0.5),""))</f>
        <v/>
      </c>
      <c r="C171" s="14">
        <f>if(TTM!C171="","",iferror(max(min(TTM!C171,0.5),-0.5),""))</f>
        <v>0.2580861622</v>
      </c>
      <c r="D171" s="14">
        <f>if(TTM!D171="","",iferror(max(min(TTM!D171,0.5),-0.5),""))</f>
        <v>0.2173291538</v>
      </c>
      <c r="E171" s="14">
        <f>if(TTM!E171="","",iferror(max(min(TTM!E171,0.5),-0.5),""))</f>
        <v>0.406301855</v>
      </c>
      <c r="F171" s="14">
        <f>if(TTM!F171="","",iferror(max(min(TTM!F171,0.5),-0.5),""))</f>
        <v>0.5</v>
      </c>
      <c r="G171" s="14" t="str">
        <f>if(TTM!G171="","",iferror(max(min(TTM!G171,0.5),-0.5),""))</f>
        <v/>
      </c>
      <c r="H171" s="14" t="str">
        <f>if(TTM!H171="","",iferror(max(min(TTM!H171,0.5),-0.5),""))</f>
        <v/>
      </c>
      <c r="I171" s="14" t="str">
        <f>if(TTM!I171="","",iferror(max(min(TTM!I171,0.5),-0.5),""))</f>
        <v/>
      </c>
      <c r="J171" s="14">
        <f>if(TTM!J171="","",iferror(max(min(TTM!J171,0.5),-0.5),""))</f>
        <v>-0.002129961062</v>
      </c>
      <c r="K171" s="14" t="str">
        <f>if(TTM!K171="","",iferror(max(min(TTM!K171,0.5),-0.5),""))</f>
        <v/>
      </c>
      <c r="L171" s="14" t="str">
        <f>if(TTM!L171="","",iferror(max(min(TTM!L171,0.5),-0.5),""))</f>
        <v/>
      </c>
      <c r="M171" s="14" t="str">
        <f>if(TTM!M171="","",iferror(max(min(TTM!M171,0.5),-0.5),""))</f>
        <v/>
      </c>
      <c r="N171" s="14" t="str">
        <f>if(TTM!N171="","",iferror(max(min(TTM!N171,0.5),-0.5),""))</f>
        <v/>
      </c>
      <c r="O171" s="14">
        <f>if(TTM!O171="","",iferror(max(min(TTM!O171,0.5),-0.5),""))</f>
        <v>0.3426015997</v>
      </c>
      <c r="P171" s="14" t="str">
        <f>if(TTM!P171="","",iferror(max(min(TTM!P171,0.5),-0.5),""))</f>
        <v/>
      </c>
      <c r="Q171" s="14" t="str">
        <f>if(TTM!Q171="","",iferror(max(min(TTM!Q171,0.5),-0.5),""))</f>
        <v/>
      </c>
      <c r="R171" s="14"/>
      <c r="S171" s="14" t="str">
        <f>if(TTM!S171="","",iferror(max(min(TTM!S171,0.5),-0.5),""))</f>
        <v/>
      </c>
      <c r="T171" s="14" t="str">
        <f>if(TTM!T171="","",iferror(max(min(TTM!T171,0.5),-0.5),""))</f>
        <v/>
      </c>
      <c r="U171" s="14" t="str">
        <f>if(TTM!U171="","",iferror(max(min(TTM!U171,0.5),-0.5),""))</f>
        <v/>
      </c>
      <c r="V171" s="14">
        <f>if(TTM!V171="","",iferror(max(min(TTM!V171,0.5),-0.5),""))</f>
        <v>-0.1664150305</v>
      </c>
      <c r="W171" s="14" t="str">
        <f>if(TTM!W171="","",iferror(max(min(TTM!W171,0.5),-0.5),""))</f>
        <v/>
      </c>
      <c r="X171" s="14">
        <f>if(TTM!X171="","",iferror(max(min(TTM!X171,0.5),-0.5),""))</f>
        <v>0.07389216669</v>
      </c>
      <c r="Y171" s="14" t="str">
        <f>if(TTM!Y171="","",iferror(max(min(TTM!Y171,0.5),-0.5),""))</f>
        <v/>
      </c>
      <c r="Z171" s="14" t="str">
        <f>if(TTM!Z171="","",iferror(max(min(TTM!Z171,0.5),-0.5),""))</f>
        <v/>
      </c>
      <c r="AA171" s="14" t="str">
        <f>if(TTM!AA171="","",iferror(max(min(TTM!AA171,0.5),-0.5),""))</f>
        <v/>
      </c>
      <c r="AB171" s="14" t="str">
        <f>if(TTM!AB171="","",iferror(max(min(TTM!AB171,0.5),-0.5),""))</f>
        <v/>
      </c>
      <c r="AC171" s="14" t="str">
        <f>if(TTM!AC171="","",iferror(max(min(TTM!AC171,0.5),-0.5),""))</f>
        <v/>
      </c>
      <c r="AD171" s="12"/>
    </row>
    <row r="172">
      <c r="A172" s="15" t="s">
        <v>85</v>
      </c>
      <c r="B172" s="14" t="str">
        <f>if(TTM!B172="","",iferror(max(min(TTM!B172,0.5),-0.5),""))</f>
        <v/>
      </c>
      <c r="C172" s="14">
        <f>if(TTM!C172="","",iferror(max(min(TTM!C172,0.5),-0.5),""))</f>
        <v>0.2714057645</v>
      </c>
      <c r="D172" s="14">
        <f>if(TTM!D172="","",iferror(max(min(TTM!D172,0.5),-0.5),""))</f>
        <v>0.2147660652</v>
      </c>
      <c r="E172" s="14">
        <f>if(TTM!E172="","",iferror(max(min(TTM!E172,0.5),-0.5),""))</f>
        <v>0.4113346415</v>
      </c>
      <c r="F172" s="14">
        <f>if(TTM!F172="","",iferror(max(min(TTM!F172,0.5),-0.5),""))</f>
        <v>0.5</v>
      </c>
      <c r="G172" s="14" t="str">
        <f>if(TTM!G172="","",iferror(max(min(TTM!G172,0.5),-0.5),""))</f>
        <v/>
      </c>
      <c r="H172" s="14" t="str">
        <f>if(TTM!H172="","",iferror(max(min(TTM!H172,0.5),-0.5),""))</f>
        <v/>
      </c>
      <c r="I172" s="14" t="str">
        <f>if(TTM!I172="","",iferror(max(min(TTM!I172,0.5),-0.5),""))</f>
        <v/>
      </c>
      <c r="J172" s="14">
        <f>if(TTM!J172="","",iferror(max(min(TTM!J172,0.5),-0.5),""))</f>
        <v>0.02321721733</v>
      </c>
      <c r="K172" s="14" t="str">
        <f>if(TTM!K172="","",iferror(max(min(TTM!K172,0.5),-0.5),""))</f>
        <v/>
      </c>
      <c r="L172" s="14" t="str">
        <f>if(TTM!L172="","",iferror(max(min(TTM!L172,0.5),-0.5),""))</f>
        <v/>
      </c>
      <c r="M172" s="14" t="str">
        <f>if(TTM!M172="","",iferror(max(min(TTM!M172,0.5),-0.5),""))</f>
        <v/>
      </c>
      <c r="N172" s="14" t="str">
        <f>if(TTM!N172="","",iferror(max(min(TTM!N172,0.5),-0.5),""))</f>
        <v/>
      </c>
      <c r="O172" s="14">
        <f>if(TTM!O172="","",iferror(max(min(TTM!O172,0.5),-0.5),""))</f>
        <v>0.3329143168</v>
      </c>
      <c r="P172" s="14" t="str">
        <f>if(TTM!P172="","",iferror(max(min(TTM!P172,0.5),-0.5),""))</f>
        <v/>
      </c>
      <c r="Q172" s="14" t="str">
        <f>if(TTM!Q172="","",iferror(max(min(TTM!Q172,0.5),-0.5),""))</f>
        <v/>
      </c>
      <c r="R172" s="14"/>
      <c r="S172" s="14" t="str">
        <f>if(TTM!S172="","",iferror(max(min(TTM!S172,0.5),-0.5),""))</f>
        <v/>
      </c>
      <c r="T172" s="14" t="str">
        <f>if(TTM!T172="","",iferror(max(min(TTM!T172,0.5),-0.5),""))</f>
        <v/>
      </c>
      <c r="U172" s="14" t="str">
        <f>if(TTM!U172="","",iferror(max(min(TTM!U172,0.5),-0.5),""))</f>
        <v/>
      </c>
      <c r="V172" s="14">
        <f>if(TTM!V172="","",iferror(max(min(TTM!V172,0.5),-0.5),""))</f>
        <v>-0.07373855921</v>
      </c>
      <c r="W172" s="14" t="str">
        <f>if(TTM!W172="","",iferror(max(min(TTM!W172,0.5),-0.5),""))</f>
        <v/>
      </c>
      <c r="X172" s="14">
        <f>if(TTM!X172="","",iferror(max(min(TTM!X172,0.5),-0.5),""))</f>
        <v>0.0862783662</v>
      </c>
      <c r="Y172" s="14" t="str">
        <f>if(TTM!Y172="","",iferror(max(min(TTM!Y172,0.5),-0.5),""))</f>
        <v/>
      </c>
      <c r="Z172" s="14" t="str">
        <f>if(TTM!Z172="","",iferror(max(min(TTM!Z172,0.5),-0.5),""))</f>
        <v/>
      </c>
      <c r="AA172" s="14" t="str">
        <f>if(TTM!AA172="","",iferror(max(min(TTM!AA172,0.5),-0.5),""))</f>
        <v/>
      </c>
      <c r="AB172" s="14" t="str">
        <f>if(TTM!AB172="","",iferror(max(min(TTM!AB172,0.5),-0.5),""))</f>
        <v/>
      </c>
      <c r="AC172" s="14" t="str">
        <f>if(TTM!AC172="","",iferror(max(min(TTM!AC172,0.5),-0.5),""))</f>
        <v/>
      </c>
      <c r="AD172" s="12"/>
    </row>
    <row r="173">
      <c r="A173" s="15" t="s">
        <v>86</v>
      </c>
      <c r="B173" s="14" t="str">
        <f>if(TTM!B173="","",iferror(max(min(TTM!B173,0.5),-0.5),""))</f>
        <v/>
      </c>
      <c r="C173" s="14">
        <f>if(TTM!C173="","",iferror(max(min(TTM!C173,0.5),-0.5),""))</f>
        <v>0.2869379367</v>
      </c>
      <c r="D173" s="14">
        <f>if(TTM!D173="","",iferror(max(min(TTM!D173,0.5),-0.5),""))</f>
        <v>0.2085808036</v>
      </c>
      <c r="E173" s="14">
        <f>if(TTM!E173="","",iferror(max(min(TTM!E173,0.5),-0.5),""))</f>
        <v>0.3965538356</v>
      </c>
      <c r="F173" s="14">
        <f>if(TTM!F173="","",iferror(max(min(TTM!F173,0.5),-0.5),""))</f>
        <v>0.5</v>
      </c>
      <c r="G173" s="14" t="str">
        <f>if(TTM!G173="","",iferror(max(min(TTM!G173,0.5),-0.5),""))</f>
        <v/>
      </c>
      <c r="H173" s="14" t="str">
        <f>if(TTM!H173="","",iferror(max(min(TTM!H173,0.5),-0.5),""))</f>
        <v/>
      </c>
      <c r="I173" s="14" t="str">
        <f>if(TTM!I173="","",iferror(max(min(TTM!I173,0.5),-0.5),""))</f>
        <v/>
      </c>
      <c r="J173" s="14">
        <f>if(TTM!J173="","",iferror(max(min(TTM!J173,0.5),-0.5),""))</f>
        <v>0.04856439573</v>
      </c>
      <c r="K173" s="14" t="str">
        <f>if(TTM!K173="","",iferror(max(min(TTM!K173,0.5),-0.5),""))</f>
        <v/>
      </c>
      <c r="L173" s="14" t="str">
        <f>if(TTM!L173="","",iferror(max(min(TTM!L173,0.5),-0.5),""))</f>
        <v/>
      </c>
      <c r="M173" s="14" t="str">
        <f>if(TTM!M173="","",iferror(max(min(TTM!M173,0.5),-0.5),""))</f>
        <v/>
      </c>
      <c r="N173" s="14" t="str">
        <f>if(TTM!N173="","",iferror(max(min(TTM!N173,0.5),-0.5),""))</f>
        <v/>
      </c>
      <c r="O173" s="14">
        <f>if(TTM!O173="","",iferror(max(min(TTM!O173,0.5),-0.5),""))</f>
        <v>0.323227034</v>
      </c>
      <c r="P173" s="14" t="str">
        <f>if(TTM!P173="","",iferror(max(min(TTM!P173,0.5),-0.5),""))</f>
        <v/>
      </c>
      <c r="Q173" s="14" t="str">
        <f>if(TTM!Q173="","",iferror(max(min(TTM!Q173,0.5),-0.5),""))</f>
        <v/>
      </c>
      <c r="R173" s="14"/>
      <c r="S173" s="14" t="str">
        <f>if(TTM!S173="","",iferror(max(min(TTM!S173,0.5),-0.5),""))</f>
        <v/>
      </c>
      <c r="T173" s="14" t="str">
        <f>if(TTM!T173="","",iferror(max(min(TTM!T173,0.5),-0.5),""))</f>
        <v/>
      </c>
      <c r="U173" s="14" t="str">
        <f>if(TTM!U173="","",iferror(max(min(TTM!U173,0.5),-0.5),""))</f>
        <v/>
      </c>
      <c r="V173" s="14">
        <f>if(TTM!V173="","",iferror(max(min(TTM!V173,0.5),-0.5),""))</f>
        <v>-0.06677341938</v>
      </c>
      <c r="W173" s="14" t="str">
        <f>if(TTM!W173="","",iferror(max(min(TTM!W173,0.5),-0.5),""))</f>
        <v/>
      </c>
      <c r="X173" s="14">
        <f>if(TTM!X173="","",iferror(max(min(TTM!X173,0.5),-0.5),""))</f>
        <v>0.0986645657</v>
      </c>
      <c r="Y173" s="14" t="str">
        <f>if(TTM!Y173="","",iferror(max(min(TTM!Y173,0.5),-0.5),""))</f>
        <v/>
      </c>
      <c r="Z173" s="14" t="str">
        <f>if(TTM!Z173="","",iferror(max(min(TTM!Z173,0.5),-0.5),""))</f>
        <v/>
      </c>
      <c r="AA173" s="14" t="str">
        <f>if(TTM!AA173="","",iferror(max(min(TTM!AA173,0.5),-0.5),""))</f>
        <v/>
      </c>
      <c r="AB173" s="14" t="str">
        <f>if(TTM!AB173="","",iferror(max(min(TTM!AB173,0.5),-0.5),""))</f>
        <v/>
      </c>
      <c r="AC173" s="14" t="str">
        <f>if(TTM!AC173="","",iferror(max(min(TTM!AC173,0.5),-0.5),""))</f>
        <v/>
      </c>
      <c r="AD173" s="12"/>
    </row>
    <row r="174">
      <c r="A174" s="15" t="s">
        <v>87</v>
      </c>
      <c r="B174" s="14" t="str">
        <f>if(TTM!B174="","",iferror(max(min(TTM!B174,0.5),-0.5),""))</f>
        <v/>
      </c>
      <c r="C174" s="14">
        <f>if(TTM!C174="","",iferror(max(min(TTM!C174,0.5),-0.5),""))</f>
        <v>0.3024701089</v>
      </c>
      <c r="D174" s="14">
        <f>if(TTM!D174="","",iferror(max(min(TTM!D174,0.5),-0.5),""))</f>
        <v>0.202395542</v>
      </c>
      <c r="E174" s="14">
        <f>if(TTM!E174="","",iferror(max(min(TTM!E174,0.5),-0.5),""))</f>
        <v>0.3817730296</v>
      </c>
      <c r="F174" s="14">
        <f>if(TTM!F174="","",iferror(max(min(TTM!F174,0.5),-0.5),""))</f>
        <v>0.5</v>
      </c>
      <c r="G174" s="14" t="str">
        <f>if(TTM!G174="","",iferror(max(min(TTM!G174,0.5),-0.5),""))</f>
        <v/>
      </c>
      <c r="H174" s="14" t="str">
        <f>if(TTM!H174="","",iferror(max(min(TTM!H174,0.5),-0.5),""))</f>
        <v/>
      </c>
      <c r="I174" s="14" t="str">
        <f>if(TTM!I174="","",iferror(max(min(TTM!I174,0.5),-0.5),""))</f>
        <v/>
      </c>
      <c r="J174" s="14">
        <f>if(TTM!J174="","",iferror(max(min(TTM!J174,0.5),-0.5),""))</f>
        <v>0.04515426695</v>
      </c>
      <c r="K174" s="14" t="str">
        <f>if(TTM!K174="","",iferror(max(min(TTM!K174,0.5),-0.5),""))</f>
        <v/>
      </c>
      <c r="L174" s="14" t="str">
        <f>if(TTM!L174="","",iferror(max(min(TTM!L174,0.5),-0.5),""))</f>
        <v/>
      </c>
      <c r="M174" s="14" t="str">
        <f>if(TTM!M174="","",iferror(max(min(TTM!M174,0.5),-0.5),""))</f>
        <v/>
      </c>
      <c r="N174" s="14" t="str">
        <f>if(TTM!N174="","",iferror(max(min(TTM!N174,0.5),-0.5),""))</f>
        <v/>
      </c>
      <c r="O174" s="14">
        <f>if(TTM!O174="","",iferror(max(min(TTM!O174,0.5),-0.5),""))</f>
        <v>0.3135397511</v>
      </c>
      <c r="P174" s="14" t="str">
        <f>if(TTM!P174="","",iferror(max(min(TTM!P174,0.5),-0.5),""))</f>
        <v/>
      </c>
      <c r="Q174" s="14" t="str">
        <f>if(TTM!Q174="","",iferror(max(min(TTM!Q174,0.5),-0.5),""))</f>
        <v/>
      </c>
      <c r="R174" s="14"/>
      <c r="S174" s="14" t="str">
        <f>if(TTM!S174="","",iferror(max(min(TTM!S174,0.5),-0.5),""))</f>
        <v/>
      </c>
      <c r="T174" s="14" t="str">
        <f>if(TTM!T174="","",iferror(max(min(TTM!T174,0.5),-0.5),""))</f>
        <v/>
      </c>
      <c r="U174" s="14" t="str">
        <f>if(TTM!U174="","",iferror(max(min(TTM!U174,0.5),-0.5),""))</f>
        <v/>
      </c>
      <c r="V174" s="14">
        <f>if(TTM!V174="","",iferror(max(min(TTM!V174,0.5),-0.5),""))</f>
        <v>-0.05980827955</v>
      </c>
      <c r="W174" s="14" t="str">
        <f>if(TTM!W174="","",iferror(max(min(TTM!W174,0.5),-0.5),""))</f>
        <v/>
      </c>
      <c r="X174" s="14">
        <f>if(TTM!X174="","",iferror(max(min(TTM!X174,0.5),-0.5),""))</f>
        <v>0.1110507652</v>
      </c>
      <c r="Y174" s="14" t="str">
        <f>if(TTM!Y174="","",iferror(max(min(TTM!Y174,0.5),-0.5),""))</f>
        <v/>
      </c>
      <c r="Z174" s="14" t="str">
        <f>if(TTM!Z174="","",iferror(max(min(TTM!Z174,0.5),-0.5),""))</f>
        <v/>
      </c>
      <c r="AA174" s="14" t="str">
        <f>if(TTM!AA174="","",iferror(max(min(TTM!AA174,0.5),-0.5),""))</f>
        <v/>
      </c>
      <c r="AB174" s="14" t="str">
        <f>if(TTM!AB174="","",iferror(max(min(TTM!AB174,0.5),-0.5),""))</f>
        <v/>
      </c>
      <c r="AC174" s="14" t="str">
        <f>if(TTM!AC174="","",iferror(max(min(TTM!AC174,0.5),-0.5),""))</f>
        <v/>
      </c>
      <c r="AD174" s="12"/>
    </row>
    <row r="175">
      <c r="A175" s="15" t="s">
        <v>88</v>
      </c>
      <c r="B175" s="14" t="str">
        <f>if(TTM!B175="","",iferror(max(min(TTM!B175,0.5),-0.5),""))</f>
        <v/>
      </c>
      <c r="C175" s="14">
        <f>if(TTM!C175="","",iferror(max(min(TTM!C175,0.5),-0.5),""))</f>
        <v>0.3180022811</v>
      </c>
      <c r="D175" s="14">
        <f>if(TTM!D175="","",iferror(max(min(TTM!D175,0.5),-0.5),""))</f>
        <v>0.1962102804</v>
      </c>
      <c r="E175" s="14">
        <f>if(TTM!E175="","",iferror(max(min(TTM!E175,0.5),-0.5),""))</f>
        <v>0.3669922237</v>
      </c>
      <c r="F175" s="14">
        <f>if(TTM!F175="","",iferror(max(min(TTM!F175,0.5),-0.5),""))</f>
        <v>0.4906583806</v>
      </c>
      <c r="G175" s="14" t="str">
        <f>if(TTM!G175="","",iferror(max(min(TTM!G175,0.5),-0.5),""))</f>
        <v/>
      </c>
      <c r="H175" s="14" t="str">
        <f>if(TTM!H175="","",iferror(max(min(TTM!H175,0.5),-0.5),""))</f>
        <v/>
      </c>
      <c r="I175" s="14" t="str">
        <f>if(TTM!I175="","",iferror(max(min(TTM!I175,0.5),-0.5),""))</f>
        <v/>
      </c>
      <c r="J175" s="14">
        <f>if(TTM!J175="","",iferror(max(min(TTM!J175,0.5),-0.5),""))</f>
        <v>0.04174413816</v>
      </c>
      <c r="K175" s="14" t="str">
        <f>if(TTM!K175="","",iferror(max(min(TTM!K175,0.5),-0.5),""))</f>
        <v/>
      </c>
      <c r="L175" s="14" t="str">
        <f>if(TTM!L175="","",iferror(max(min(TTM!L175,0.5),-0.5),""))</f>
        <v/>
      </c>
      <c r="M175" s="14" t="str">
        <f>if(TTM!M175="","",iferror(max(min(TTM!M175,0.5),-0.5),""))</f>
        <v/>
      </c>
      <c r="N175" s="14" t="str">
        <f>if(TTM!N175="","",iferror(max(min(TTM!N175,0.5),-0.5),""))</f>
        <v/>
      </c>
      <c r="O175" s="14">
        <f>if(TTM!O175="","",iferror(max(min(TTM!O175,0.5),-0.5),""))</f>
        <v>0.3141534521</v>
      </c>
      <c r="P175" s="14" t="str">
        <f>if(TTM!P175="","",iferror(max(min(TTM!P175,0.5),-0.5),""))</f>
        <v/>
      </c>
      <c r="Q175" s="14" t="str">
        <f>if(TTM!Q175="","",iferror(max(min(TTM!Q175,0.5),-0.5),""))</f>
        <v/>
      </c>
      <c r="R175" s="14"/>
      <c r="S175" s="14" t="str">
        <f>if(TTM!S175="","",iferror(max(min(TTM!S175,0.5),-0.5),""))</f>
        <v/>
      </c>
      <c r="T175" s="14" t="str">
        <f>if(TTM!T175="","",iferror(max(min(TTM!T175,0.5),-0.5),""))</f>
        <v/>
      </c>
      <c r="U175" s="14" t="str">
        <f>if(TTM!U175="","",iferror(max(min(TTM!U175,0.5),-0.5),""))</f>
        <v/>
      </c>
      <c r="V175" s="14">
        <f>if(TTM!V175="","",iferror(max(min(TTM!V175,0.5),-0.5),""))</f>
        <v>-0.05284313972</v>
      </c>
      <c r="W175" s="14" t="str">
        <f>if(TTM!W175="","",iferror(max(min(TTM!W175,0.5),-0.5),""))</f>
        <v/>
      </c>
      <c r="X175" s="14">
        <f>if(TTM!X175="","",iferror(max(min(TTM!X175,0.5),-0.5),""))</f>
        <v>0.1257973661</v>
      </c>
      <c r="Y175" s="14" t="str">
        <f>if(TTM!Y175="","",iferror(max(min(TTM!Y175,0.5),-0.5),""))</f>
        <v/>
      </c>
      <c r="Z175" s="14" t="str">
        <f>if(TTM!Z175="","",iferror(max(min(TTM!Z175,0.5),-0.5),""))</f>
        <v/>
      </c>
      <c r="AA175" s="14" t="str">
        <f>if(TTM!AA175="","",iferror(max(min(TTM!AA175,0.5),-0.5),""))</f>
        <v/>
      </c>
      <c r="AB175" s="14" t="str">
        <f>if(TTM!AB175="","",iferror(max(min(TTM!AB175,0.5),-0.5),""))</f>
        <v/>
      </c>
      <c r="AC175" s="14" t="str">
        <f>if(TTM!AC175="","",iferror(max(min(TTM!AC175,0.5),-0.5),""))</f>
        <v/>
      </c>
      <c r="AD175" s="12"/>
    </row>
    <row r="176">
      <c r="A176" s="15" t="s">
        <v>89</v>
      </c>
      <c r="B176" s="14" t="str">
        <f>if(TTM!B176="","",iferror(max(min(TTM!B176,0.5),-0.5),""))</f>
        <v/>
      </c>
      <c r="C176" s="14">
        <f>if(TTM!C176="","",iferror(max(min(TTM!C176,0.5),-0.5),""))</f>
        <v>0.3335344533</v>
      </c>
      <c r="D176" s="14">
        <f>if(TTM!D176="","",iferror(max(min(TTM!D176,0.5),-0.5),""))</f>
        <v>0.1900250188</v>
      </c>
      <c r="E176" s="14">
        <f>if(TTM!E176="","",iferror(max(min(TTM!E176,0.5),-0.5),""))</f>
        <v>0.3522114178</v>
      </c>
      <c r="F176" s="14">
        <f>if(TTM!F176="","",iferror(max(min(TTM!F176,0.5),-0.5),""))</f>
        <v>0.4796605673</v>
      </c>
      <c r="G176" s="14" t="str">
        <f>if(TTM!G176="","",iferror(max(min(TTM!G176,0.5),-0.5),""))</f>
        <v/>
      </c>
      <c r="H176" s="14" t="str">
        <f>if(TTM!H176="","",iferror(max(min(TTM!H176,0.5),-0.5),""))</f>
        <v/>
      </c>
      <c r="I176" s="14" t="str">
        <f>if(TTM!I176="","",iferror(max(min(TTM!I176,0.5),-0.5),""))</f>
        <v/>
      </c>
      <c r="J176" s="14">
        <f>if(TTM!J176="","",iferror(max(min(TTM!J176,0.5),-0.5),""))</f>
        <v>0.03833400937</v>
      </c>
      <c r="K176" s="14" t="str">
        <f>if(TTM!K176="","",iferror(max(min(TTM!K176,0.5),-0.5),""))</f>
        <v/>
      </c>
      <c r="L176" s="14" t="str">
        <f>if(TTM!L176="","",iferror(max(min(TTM!L176,0.5),-0.5),""))</f>
        <v/>
      </c>
      <c r="M176" s="14" t="str">
        <f>if(TTM!M176="","",iferror(max(min(TTM!M176,0.5),-0.5),""))</f>
        <v/>
      </c>
      <c r="N176" s="14" t="str">
        <f>if(TTM!N176="","",iferror(max(min(TTM!N176,0.5),-0.5),""))</f>
        <v/>
      </c>
      <c r="O176" s="14">
        <f>if(TTM!O176="","",iferror(max(min(TTM!O176,0.5),-0.5),""))</f>
        <v>0.3147671531</v>
      </c>
      <c r="P176" s="14" t="str">
        <f>if(TTM!P176="","",iferror(max(min(TTM!P176,0.5),-0.5),""))</f>
        <v/>
      </c>
      <c r="Q176" s="14" t="str">
        <f>if(TTM!Q176="","",iferror(max(min(TTM!Q176,0.5),-0.5),""))</f>
        <v/>
      </c>
      <c r="R176" s="14"/>
      <c r="S176" s="14" t="str">
        <f>if(TTM!S176="","",iferror(max(min(TTM!S176,0.5),-0.5),""))</f>
        <v/>
      </c>
      <c r="T176" s="14" t="str">
        <f>if(TTM!T176="","",iferror(max(min(TTM!T176,0.5),-0.5),""))</f>
        <v/>
      </c>
      <c r="U176" s="14" t="str">
        <f>if(TTM!U176="","",iferror(max(min(TTM!U176,0.5),-0.5),""))</f>
        <v/>
      </c>
      <c r="V176" s="14">
        <f>if(TTM!V176="","",iferror(max(min(TTM!V176,0.5),-0.5),""))</f>
        <v>-0.04587799989</v>
      </c>
      <c r="W176" s="14" t="str">
        <f>if(TTM!W176="","",iferror(max(min(TTM!W176,0.5),-0.5),""))</f>
        <v/>
      </c>
      <c r="X176" s="14">
        <f>if(TTM!X176="","",iferror(max(min(TTM!X176,0.5),-0.5),""))</f>
        <v>0.1405439671</v>
      </c>
      <c r="Y176" s="14" t="str">
        <f>if(TTM!Y176="","",iferror(max(min(TTM!Y176,0.5),-0.5),""))</f>
        <v/>
      </c>
      <c r="Z176" s="14" t="str">
        <f>if(TTM!Z176="","",iferror(max(min(TTM!Z176,0.5),-0.5),""))</f>
        <v/>
      </c>
      <c r="AA176" s="14" t="str">
        <f>if(TTM!AA176="","",iferror(max(min(TTM!AA176,0.5),-0.5),""))</f>
        <v/>
      </c>
      <c r="AB176" s="14" t="str">
        <f>if(TTM!AB176="","",iferror(max(min(TTM!AB176,0.5),-0.5),""))</f>
        <v/>
      </c>
      <c r="AC176" s="14" t="str">
        <f>if(TTM!AC176="","",iferror(max(min(TTM!AC176,0.5),-0.5),""))</f>
        <v/>
      </c>
      <c r="AD176" s="12"/>
    </row>
    <row r="177">
      <c r="A177" s="15" t="s">
        <v>90</v>
      </c>
      <c r="B177" s="14" t="str">
        <f>if(TTM!B177="","",iferror(max(min(TTM!B177,0.5),-0.5),""))</f>
        <v/>
      </c>
      <c r="C177" s="14">
        <f>if(TTM!C177="","",iferror(max(min(TTM!C177,0.5),-0.5),""))</f>
        <v>0.340197877</v>
      </c>
      <c r="D177" s="14">
        <f>if(TTM!D177="","",iferror(max(min(TTM!D177,0.5),-0.5),""))</f>
        <v>0.1887121191</v>
      </c>
      <c r="E177" s="14">
        <f>if(TTM!E177="","",iferror(max(min(TTM!E177,0.5),-0.5),""))</f>
        <v>0.3156787296</v>
      </c>
      <c r="F177" s="14">
        <f>if(TTM!F177="","",iferror(max(min(TTM!F177,0.5),-0.5),""))</f>
        <v>0.4652500126</v>
      </c>
      <c r="G177" s="14" t="str">
        <f>if(TTM!G177="","",iferror(max(min(TTM!G177,0.5),-0.5),""))</f>
        <v/>
      </c>
      <c r="H177" s="14">
        <f>if(TTM!H177="","",iferror(max(min(TTM!H177,0.5),-0.5),""))</f>
        <v>0.2123570757</v>
      </c>
      <c r="I177" s="14" t="str">
        <f>if(TTM!I177="","",iferror(max(min(TTM!I177,0.5),-0.5),""))</f>
        <v/>
      </c>
      <c r="J177" s="14">
        <f>if(TTM!J177="","",iferror(max(min(TTM!J177,0.5),-0.5),""))</f>
        <v>0.03492388059</v>
      </c>
      <c r="K177" s="14" t="str">
        <f>if(TTM!K177="","",iferror(max(min(TTM!K177,0.5),-0.5),""))</f>
        <v/>
      </c>
      <c r="L177" s="14" t="str">
        <f>if(TTM!L177="","",iferror(max(min(TTM!L177,0.5),-0.5),""))</f>
        <v/>
      </c>
      <c r="M177" s="14" t="str">
        <f>if(TTM!M177="","",iferror(max(min(TTM!M177,0.5),-0.5),""))</f>
        <v/>
      </c>
      <c r="N177" s="14" t="str">
        <f>if(TTM!N177="","",iferror(max(min(TTM!N177,0.5),-0.5),""))</f>
        <v/>
      </c>
      <c r="O177" s="14">
        <f>if(TTM!O177="","",iferror(max(min(TTM!O177,0.5),-0.5),""))</f>
        <v>0.3153808541</v>
      </c>
      <c r="P177" s="14" t="str">
        <f>if(TTM!P177="","",iferror(max(min(TTM!P177,0.5),-0.5),""))</f>
        <v/>
      </c>
      <c r="Q177" s="14" t="str">
        <f>if(TTM!Q177="","",iferror(max(min(TTM!Q177,0.5),-0.5),""))</f>
        <v/>
      </c>
      <c r="R177" s="14"/>
      <c r="S177" s="14" t="str">
        <f>if(TTM!S177="","",iferror(max(min(TTM!S177,0.5),-0.5),""))</f>
        <v/>
      </c>
      <c r="T177" s="14" t="str">
        <f>if(TTM!T177="","",iferror(max(min(TTM!T177,0.5),-0.5),""))</f>
        <v/>
      </c>
      <c r="U177" s="14" t="str">
        <f>if(TTM!U177="","",iferror(max(min(TTM!U177,0.5),-0.5),""))</f>
        <v/>
      </c>
      <c r="V177" s="14">
        <f>if(TTM!V177="","",iferror(max(min(TTM!V177,0.5),-0.5),""))</f>
        <v>-0.1302503507</v>
      </c>
      <c r="W177" s="14" t="str">
        <f>if(TTM!W177="","",iferror(max(min(TTM!W177,0.5),-0.5),""))</f>
        <v/>
      </c>
      <c r="X177" s="14">
        <f>if(TTM!X177="","",iferror(max(min(TTM!X177,0.5),-0.5),""))</f>
        <v>0.155290568</v>
      </c>
      <c r="Y177" s="14" t="str">
        <f>if(TTM!Y177="","",iferror(max(min(TTM!Y177,0.5),-0.5),""))</f>
        <v/>
      </c>
      <c r="Z177" s="14" t="str">
        <f>if(TTM!Z177="","",iferror(max(min(TTM!Z177,0.5),-0.5),""))</f>
        <v/>
      </c>
      <c r="AA177" s="14" t="str">
        <f>if(TTM!AA177="","",iferror(max(min(TTM!AA177,0.5),-0.5),""))</f>
        <v/>
      </c>
      <c r="AB177" s="14" t="str">
        <f>if(TTM!AB177="","",iferror(max(min(TTM!AB177,0.5),-0.5),""))</f>
        <v/>
      </c>
      <c r="AC177" s="14" t="str">
        <f>if(TTM!AC177="","",iferror(max(min(TTM!AC177,0.5),-0.5),""))</f>
        <v/>
      </c>
      <c r="AD177" s="12"/>
    </row>
    <row r="178">
      <c r="A178" s="15" t="s">
        <v>91</v>
      </c>
      <c r="B178" s="14" t="str">
        <f>if(TTM!B178="","",iferror(max(min(TTM!B178,0.5),-0.5),""))</f>
        <v/>
      </c>
      <c r="C178" s="14">
        <f>if(TTM!C178="","",iferror(max(min(TTM!C178,0.5),-0.5),""))</f>
        <v>0.3468613008</v>
      </c>
      <c r="D178" s="14">
        <f>if(TTM!D178="","",iferror(max(min(TTM!D178,0.5),-0.5),""))</f>
        <v>0.1873992195</v>
      </c>
      <c r="E178" s="14">
        <f>if(TTM!E178="","",iferror(max(min(TTM!E178,0.5),-0.5),""))</f>
        <v>0.2791460414</v>
      </c>
      <c r="F178" s="14">
        <f>if(TTM!F178="","",iferror(max(min(TTM!F178,0.5),-0.5),""))</f>
        <v>0.450839458</v>
      </c>
      <c r="G178" s="14" t="str">
        <f>if(TTM!G178="","",iferror(max(min(TTM!G178,0.5),-0.5),""))</f>
        <v/>
      </c>
      <c r="H178" s="14">
        <f>if(TTM!H178="","",iferror(max(min(TTM!H178,0.5),-0.5),""))</f>
        <v>0.2116097489</v>
      </c>
      <c r="I178" s="14" t="str">
        <f>if(TTM!I178="","",iferror(max(min(TTM!I178,0.5),-0.5),""))</f>
        <v/>
      </c>
      <c r="J178" s="14">
        <f>if(TTM!J178="","",iferror(max(min(TTM!J178,0.5),-0.5),""))</f>
        <v>0.01063605839</v>
      </c>
      <c r="K178" s="14" t="str">
        <f>if(TTM!K178="","",iferror(max(min(TTM!K178,0.5),-0.5),""))</f>
        <v/>
      </c>
      <c r="L178" s="14" t="str">
        <f>if(TTM!L178="","",iferror(max(min(TTM!L178,0.5),-0.5),""))</f>
        <v/>
      </c>
      <c r="M178" s="14" t="str">
        <f>if(TTM!M178="","",iferror(max(min(TTM!M178,0.5),-0.5),""))</f>
        <v/>
      </c>
      <c r="N178" s="14" t="str">
        <f>if(TTM!N178="","",iferror(max(min(TTM!N178,0.5),-0.5),""))</f>
        <v/>
      </c>
      <c r="O178" s="14">
        <f>if(TTM!O178="","",iferror(max(min(TTM!O178,0.5),-0.5),""))</f>
        <v>0.315994555</v>
      </c>
      <c r="P178" s="14" t="str">
        <f>if(TTM!P178="","",iferror(max(min(TTM!P178,0.5),-0.5),""))</f>
        <v/>
      </c>
      <c r="Q178" s="14" t="str">
        <f>if(TTM!Q178="","",iferror(max(min(TTM!Q178,0.5),-0.5),""))</f>
        <v/>
      </c>
      <c r="R178" s="14"/>
      <c r="S178" s="14" t="str">
        <f>if(TTM!S178="","",iferror(max(min(TTM!S178,0.5),-0.5),""))</f>
        <v/>
      </c>
      <c r="T178" s="14" t="str">
        <f>if(TTM!T178="","",iferror(max(min(TTM!T178,0.5),-0.5),""))</f>
        <v/>
      </c>
      <c r="U178" s="14" t="str">
        <f>if(TTM!U178="","",iferror(max(min(TTM!U178,0.5),-0.5),""))</f>
        <v/>
      </c>
      <c r="V178" s="14">
        <f>if(TTM!V178="","",iferror(max(min(TTM!V178,0.5),-0.5),""))</f>
        <v>-0.2146227015</v>
      </c>
      <c r="W178" s="14" t="str">
        <f>if(TTM!W178="","",iferror(max(min(TTM!W178,0.5),-0.5),""))</f>
        <v/>
      </c>
      <c r="X178" s="14">
        <f>if(TTM!X178="","",iferror(max(min(TTM!X178,0.5),-0.5),""))</f>
        <v>0.1700371689</v>
      </c>
      <c r="Y178" s="14" t="str">
        <f>if(TTM!Y178="","",iferror(max(min(TTM!Y178,0.5),-0.5),""))</f>
        <v/>
      </c>
      <c r="Z178" s="14" t="str">
        <f>if(TTM!Z178="","",iferror(max(min(TTM!Z178,0.5),-0.5),""))</f>
        <v/>
      </c>
      <c r="AA178" s="14" t="str">
        <f>if(TTM!AA178="","",iferror(max(min(TTM!AA178,0.5),-0.5),""))</f>
        <v/>
      </c>
      <c r="AB178" s="14" t="str">
        <f>if(TTM!AB178="","",iferror(max(min(TTM!AB178,0.5),-0.5),""))</f>
        <v/>
      </c>
      <c r="AC178" s="14" t="str">
        <f>if(TTM!AC178="","",iferror(max(min(TTM!AC178,0.5),-0.5),""))</f>
        <v/>
      </c>
      <c r="AD178" s="12"/>
    </row>
    <row r="179">
      <c r="A179" s="15" t="s">
        <v>92</v>
      </c>
      <c r="B179" s="14" t="str">
        <f>if(TTM!B179="","",iferror(max(min(TTM!B179,0.5),-0.5),""))</f>
        <v/>
      </c>
      <c r="C179" s="14">
        <f>if(TTM!C179="","",iferror(max(min(TTM!C179,0.5),-0.5),""))</f>
        <v>0.3535247246</v>
      </c>
      <c r="D179" s="14">
        <f>if(TTM!D179="","",iferror(max(min(TTM!D179,0.5),-0.5),""))</f>
        <v>0.1860863199</v>
      </c>
      <c r="E179" s="14">
        <f>if(TTM!E179="","",iferror(max(min(TTM!E179,0.5),-0.5),""))</f>
        <v>0.2426133532</v>
      </c>
      <c r="F179" s="14">
        <f>if(TTM!F179="","",iferror(max(min(TTM!F179,0.5),-0.5),""))</f>
        <v>0.4364289033</v>
      </c>
      <c r="G179" s="14" t="str">
        <f>if(TTM!G179="","",iferror(max(min(TTM!G179,0.5),-0.5),""))</f>
        <v/>
      </c>
      <c r="H179" s="14">
        <f>if(TTM!H179="","",iferror(max(min(TTM!H179,0.5),-0.5),""))</f>
        <v>0.2108624221</v>
      </c>
      <c r="I179" s="14" t="str">
        <f>if(TTM!I179="","",iferror(max(min(TTM!I179,0.5),-0.5),""))</f>
        <v/>
      </c>
      <c r="J179" s="14">
        <f>if(TTM!J179="","",iferror(max(min(TTM!J179,0.5),-0.5),""))</f>
        <v>-0.01365176381</v>
      </c>
      <c r="K179" s="14" t="str">
        <f>if(TTM!K179="","",iferror(max(min(TTM!K179,0.5),-0.5),""))</f>
        <v/>
      </c>
      <c r="L179" s="14" t="str">
        <f>if(TTM!L179="","",iferror(max(min(TTM!L179,0.5),-0.5),""))</f>
        <v/>
      </c>
      <c r="M179" s="14" t="str">
        <f>if(TTM!M179="","",iferror(max(min(TTM!M179,0.5),-0.5),""))</f>
        <v/>
      </c>
      <c r="N179" s="14" t="str">
        <f>if(TTM!N179="","",iferror(max(min(TTM!N179,0.5),-0.5),""))</f>
        <v/>
      </c>
      <c r="O179" s="14">
        <f>if(TTM!O179="","",iferror(max(min(TTM!O179,0.5),-0.5),""))</f>
        <v>0.2772633045</v>
      </c>
      <c r="P179" s="14" t="str">
        <f>if(TTM!P179="","",iferror(max(min(TTM!P179,0.5),-0.5),""))</f>
        <v/>
      </c>
      <c r="Q179" s="14" t="str">
        <f>if(TTM!Q179="","",iferror(max(min(TTM!Q179,0.5),-0.5),""))</f>
        <v/>
      </c>
      <c r="R179" s="14"/>
      <c r="S179" s="14" t="str">
        <f>if(TTM!S179="","",iferror(max(min(TTM!S179,0.5),-0.5),""))</f>
        <v/>
      </c>
      <c r="T179" s="14" t="str">
        <f>if(TTM!T179="","",iferror(max(min(TTM!T179,0.5),-0.5),""))</f>
        <v/>
      </c>
      <c r="U179" s="14" t="str">
        <f>if(TTM!U179="","",iferror(max(min(TTM!U179,0.5),-0.5),""))</f>
        <v/>
      </c>
      <c r="V179" s="14">
        <f>if(TTM!V179="","",iferror(max(min(TTM!V179,0.5),-0.5),""))</f>
        <v>-0.2989950522</v>
      </c>
      <c r="W179" s="14" t="str">
        <f>if(TTM!W179="","",iferror(max(min(TTM!W179,0.5),-0.5),""))</f>
        <v/>
      </c>
      <c r="X179" s="14">
        <f>if(TTM!X179="","",iferror(max(min(TTM!X179,0.5),-0.5),""))</f>
        <v>0.174351845</v>
      </c>
      <c r="Y179" s="14" t="str">
        <f>if(TTM!Y179="","",iferror(max(min(TTM!Y179,0.5),-0.5),""))</f>
        <v/>
      </c>
      <c r="Z179" s="14" t="str">
        <f>if(TTM!Z179="","",iferror(max(min(TTM!Z179,0.5),-0.5),""))</f>
        <v/>
      </c>
      <c r="AA179" s="14" t="str">
        <f>if(TTM!AA179="","",iferror(max(min(TTM!AA179,0.5),-0.5),""))</f>
        <v/>
      </c>
      <c r="AB179" s="14" t="str">
        <f>if(TTM!AB179="","",iferror(max(min(TTM!AB179,0.5),-0.5),""))</f>
        <v/>
      </c>
      <c r="AC179" s="14" t="str">
        <f>if(TTM!AC179="","",iferror(max(min(TTM!AC179,0.5),-0.5),""))</f>
        <v/>
      </c>
      <c r="AD179" s="12"/>
    </row>
    <row r="180">
      <c r="A180" s="15" t="s">
        <v>93</v>
      </c>
      <c r="B180" s="14" t="str">
        <f>if(TTM!B180="","",iferror(max(min(TTM!B180,0.5),-0.5),""))</f>
        <v/>
      </c>
      <c r="C180" s="14">
        <f>if(TTM!C180="","",iferror(max(min(TTM!C180,0.5),-0.5),""))</f>
        <v>0.3601881483</v>
      </c>
      <c r="D180" s="14">
        <f>if(TTM!D180="","",iferror(max(min(TTM!D180,0.5),-0.5),""))</f>
        <v>0.1847734203</v>
      </c>
      <c r="E180" s="14">
        <f>if(TTM!E180="","",iferror(max(min(TTM!E180,0.5),-0.5),""))</f>
        <v>0.2060806649</v>
      </c>
      <c r="F180" s="14">
        <f>if(TTM!F180="","",iferror(max(min(TTM!F180,0.5),-0.5),""))</f>
        <v>0.4220183486</v>
      </c>
      <c r="G180" s="14" t="str">
        <f>if(TTM!G180="","",iferror(max(min(TTM!G180,0.5),-0.5),""))</f>
        <v/>
      </c>
      <c r="H180" s="14">
        <f>if(TTM!H180="","",iferror(max(min(TTM!H180,0.5),-0.5),""))</f>
        <v>0.2101150953</v>
      </c>
      <c r="I180" s="14" t="str">
        <f>if(TTM!I180="","",iferror(max(min(TTM!I180,0.5),-0.5),""))</f>
        <v/>
      </c>
      <c r="J180" s="14">
        <f>if(TTM!J180="","",iferror(max(min(TTM!J180,0.5),-0.5),""))</f>
        <v>-0.03793958601</v>
      </c>
      <c r="K180" s="14" t="str">
        <f>if(TTM!K180="","",iferror(max(min(TTM!K180,0.5),-0.5),""))</f>
        <v/>
      </c>
      <c r="L180" s="14" t="str">
        <f>if(TTM!L180="","",iferror(max(min(TTM!L180,0.5),-0.5),""))</f>
        <v/>
      </c>
      <c r="M180" s="14" t="str">
        <f>if(TTM!M180="","",iferror(max(min(TTM!M180,0.5),-0.5),""))</f>
        <v/>
      </c>
      <c r="N180" s="14" t="str">
        <f>if(TTM!N180="","",iferror(max(min(TTM!N180,0.5),-0.5),""))</f>
        <v/>
      </c>
      <c r="O180" s="14">
        <f>if(TTM!O180="","",iferror(max(min(TTM!O180,0.5),-0.5),""))</f>
        <v>0.2385320539</v>
      </c>
      <c r="P180" s="14" t="str">
        <f>if(TTM!P180="","",iferror(max(min(TTM!P180,0.5),-0.5),""))</f>
        <v/>
      </c>
      <c r="Q180" s="14" t="str">
        <f>if(TTM!Q180="","",iferror(max(min(TTM!Q180,0.5),-0.5),""))</f>
        <v/>
      </c>
      <c r="R180" s="14"/>
      <c r="S180" s="14">
        <f>if(TTM!S180="","",iferror(max(min(TTM!S180,0.5),-0.5),""))</f>
        <v>0.1508370293</v>
      </c>
      <c r="T180" s="14" t="str">
        <f>if(TTM!T180="","",iferror(max(min(TTM!T180,0.5),-0.5),""))</f>
        <v/>
      </c>
      <c r="U180" s="14" t="str">
        <f>if(TTM!U180="","",iferror(max(min(TTM!U180,0.5),-0.5),""))</f>
        <v/>
      </c>
      <c r="V180" s="14">
        <f>if(TTM!V180="","",iferror(max(min(TTM!V180,0.5),-0.5),""))</f>
        <v>-0.383367403</v>
      </c>
      <c r="W180" s="14" t="str">
        <f>if(TTM!W180="","",iferror(max(min(TTM!W180,0.5),-0.5),""))</f>
        <v/>
      </c>
      <c r="X180" s="14">
        <f>if(TTM!X180="","",iferror(max(min(TTM!X180,0.5),-0.5),""))</f>
        <v>0.178666521</v>
      </c>
      <c r="Y180" s="14" t="str">
        <f>if(TTM!Y180="","",iferror(max(min(TTM!Y180,0.5),-0.5),""))</f>
        <v/>
      </c>
      <c r="Z180" s="14" t="str">
        <f>if(TTM!Z180="","",iferror(max(min(TTM!Z180,0.5),-0.5),""))</f>
        <v/>
      </c>
      <c r="AA180" s="14" t="str">
        <f>if(TTM!AA180="","",iferror(max(min(TTM!AA180,0.5),-0.5),""))</f>
        <v/>
      </c>
      <c r="AB180" s="14" t="str">
        <f>if(TTM!AB180="","",iferror(max(min(TTM!AB180,0.5),-0.5),""))</f>
        <v/>
      </c>
      <c r="AC180" s="14" t="str">
        <f>if(TTM!AC180="","",iferror(max(min(TTM!AC180,0.5),-0.5),""))</f>
        <v/>
      </c>
      <c r="AD180" s="12"/>
    </row>
    <row r="181">
      <c r="A181" s="15" t="s">
        <v>94</v>
      </c>
      <c r="B181" s="14" t="str">
        <f>if(TTM!B181="","",iferror(max(min(TTM!B181,0.5),-0.5),""))</f>
        <v/>
      </c>
      <c r="C181" s="14">
        <f>if(TTM!C181="","",iferror(max(min(TTM!C181,0.5),-0.5),""))</f>
        <v>0.3632617877</v>
      </c>
      <c r="D181" s="14">
        <f>if(TTM!D181="","",iferror(max(min(TTM!D181,0.5),-0.5),""))</f>
        <v>0.1801794627</v>
      </c>
      <c r="E181" s="14">
        <f>if(TTM!E181="","",iferror(max(min(TTM!E181,0.5),-0.5),""))</f>
        <v>0.2051294652</v>
      </c>
      <c r="F181" s="14">
        <f>if(TTM!F181="","",iferror(max(min(TTM!F181,0.5),-0.5),""))</f>
        <v>0.4038153488</v>
      </c>
      <c r="G181" s="14" t="str">
        <f>if(TTM!G181="","",iferror(max(min(TTM!G181,0.5),-0.5),""))</f>
        <v/>
      </c>
      <c r="H181" s="14">
        <f>if(TTM!H181="","",iferror(max(min(TTM!H181,0.5),-0.5),""))</f>
        <v>0.2093677685</v>
      </c>
      <c r="I181" s="14" t="str">
        <f>if(TTM!I181="","",iferror(max(min(TTM!I181,0.5),-0.5),""))</f>
        <v/>
      </c>
      <c r="J181" s="14">
        <f>if(TTM!J181="","",iferror(max(min(TTM!J181,0.5),-0.5),""))</f>
        <v>-0.0622274082</v>
      </c>
      <c r="K181" s="14" t="str">
        <f>if(TTM!K181="","",iferror(max(min(TTM!K181,0.5),-0.5),""))</f>
        <v/>
      </c>
      <c r="L181" s="14" t="str">
        <f>if(TTM!L181="","",iferror(max(min(TTM!L181,0.5),-0.5),""))</f>
        <v/>
      </c>
      <c r="M181" s="14" t="str">
        <f>if(TTM!M181="","",iferror(max(min(TTM!M181,0.5),-0.5),""))</f>
        <v/>
      </c>
      <c r="N181" s="14" t="str">
        <f>if(TTM!N181="","",iferror(max(min(TTM!N181,0.5),-0.5),""))</f>
        <v/>
      </c>
      <c r="O181" s="14">
        <f>if(TTM!O181="","",iferror(max(min(TTM!O181,0.5),-0.5),""))</f>
        <v>0.1998008033</v>
      </c>
      <c r="P181" s="14" t="str">
        <f>if(TTM!P181="","",iferror(max(min(TTM!P181,0.5),-0.5),""))</f>
        <v/>
      </c>
      <c r="Q181" s="14" t="str">
        <f>if(TTM!Q181="","",iferror(max(min(TTM!Q181,0.5),-0.5),""))</f>
        <v/>
      </c>
      <c r="R181" s="14"/>
      <c r="S181" s="14">
        <f>if(TTM!S181="","",iferror(max(min(TTM!S181,0.5),-0.5),""))</f>
        <v>0.1557512246</v>
      </c>
      <c r="T181" s="14" t="str">
        <f>if(TTM!T181="","",iferror(max(min(TTM!T181,0.5),-0.5),""))</f>
        <v/>
      </c>
      <c r="U181" s="14" t="str">
        <f>if(TTM!U181="","",iferror(max(min(TTM!U181,0.5),-0.5),""))</f>
        <v/>
      </c>
      <c r="V181" s="14">
        <f>if(TTM!V181="","",iferror(max(min(TTM!V181,0.5),-0.5),""))</f>
        <v>-0.2875019396</v>
      </c>
      <c r="W181" s="14" t="str">
        <f>if(TTM!W181="","",iferror(max(min(TTM!W181,0.5),-0.5),""))</f>
        <v/>
      </c>
      <c r="X181" s="14">
        <f>if(TTM!X181="","",iferror(max(min(TTM!X181,0.5),-0.5),""))</f>
        <v>0.1829811971</v>
      </c>
      <c r="Y181" s="14" t="str">
        <f>if(TTM!Y181="","",iferror(max(min(TTM!Y181,0.5),-0.5),""))</f>
        <v/>
      </c>
      <c r="Z181" s="14" t="str">
        <f>if(TTM!Z181="","",iferror(max(min(TTM!Z181,0.5),-0.5),""))</f>
        <v/>
      </c>
      <c r="AA181" s="14" t="str">
        <f>if(TTM!AA181="","",iferror(max(min(TTM!AA181,0.5),-0.5),""))</f>
        <v/>
      </c>
      <c r="AB181" s="14" t="str">
        <f>if(TTM!AB181="","",iferror(max(min(TTM!AB181,0.5),-0.5),""))</f>
        <v/>
      </c>
      <c r="AC181" s="14" t="str">
        <f>if(TTM!AC181="","",iferror(max(min(TTM!AC181,0.5),-0.5),""))</f>
        <v/>
      </c>
      <c r="AD181" s="12"/>
    </row>
    <row r="182">
      <c r="A182" s="15" t="s">
        <v>95</v>
      </c>
      <c r="B182" s="14" t="str">
        <f>if(TTM!B182="","",iferror(max(min(TTM!B182,0.5),-0.5),""))</f>
        <v/>
      </c>
      <c r="C182" s="14">
        <f>if(TTM!C182="","",iferror(max(min(TTM!C182,0.5),-0.5),""))</f>
        <v>0.366335427</v>
      </c>
      <c r="D182" s="14">
        <f>if(TTM!D182="","",iferror(max(min(TTM!D182,0.5),-0.5),""))</f>
        <v>0.1755855052</v>
      </c>
      <c r="E182" s="14">
        <f>if(TTM!E182="","",iferror(max(min(TTM!E182,0.5),-0.5),""))</f>
        <v>0.2041782655</v>
      </c>
      <c r="F182" s="14">
        <f>if(TTM!F182="","",iferror(max(min(TTM!F182,0.5),-0.5),""))</f>
        <v>0.3856123489</v>
      </c>
      <c r="G182" s="14" t="str">
        <f>if(TTM!G182="","",iferror(max(min(TTM!G182,0.5),-0.5),""))</f>
        <v/>
      </c>
      <c r="H182" s="14">
        <f>if(TTM!H182="","",iferror(max(min(TTM!H182,0.5),-0.5),""))</f>
        <v>0.200502507</v>
      </c>
      <c r="I182" s="14" t="str">
        <f>if(TTM!I182="","",iferror(max(min(TTM!I182,0.5),-0.5),""))</f>
        <v/>
      </c>
      <c r="J182" s="14">
        <f>if(TTM!J182="","",iferror(max(min(TTM!J182,0.5),-0.5),""))</f>
        <v>-0.05613290749</v>
      </c>
      <c r="K182" s="14" t="str">
        <f>if(TTM!K182="","",iferror(max(min(TTM!K182,0.5),-0.5),""))</f>
        <v/>
      </c>
      <c r="L182" s="14" t="str">
        <f>if(TTM!L182="","",iferror(max(min(TTM!L182,0.5),-0.5),""))</f>
        <v/>
      </c>
      <c r="M182" s="14" t="str">
        <f>if(TTM!M182="","",iferror(max(min(TTM!M182,0.5),-0.5),""))</f>
        <v/>
      </c>
      <c r="N182" s="14" t="str">
        <f>if(TTM!N182="","",iferror(max(min(TTM!N182,0.5),-0.5),""))</f>
        <v/>
      </c>
      <c r="O182" s="14">
        <f>if(TTM!O182="","",iferror(max(min(TTM!O182,0.5),-0.5),""))</f>
        <v>0.1610695528</v>
      </c>
      <c r="P182" s="14" t="str">
        <f>if(TTM!P182="","",iferror(max(min(TTM!P182,0.5),-0.5),""))</f>
        <v/>
      </c>
      <c r="Q182" s="14" t="str">
        <f>if(TTM!Q182="","",iferror(max(min(TTM!Q182,0.5),-0.5),""))</f>
        <v/>
      </c>
      <c r="R182" s="14"/>
      <c r="S182" s="14">
        <f>if(TTM!S182="","",iferror(max(min(TTM!S182,0.5),-0.5),""))</f>
        <v>0.1606654199</v>
      </c>
      <c r="T182" s="14" t="str">
        <f>if(TTM!T182="","",iferror(max(min(TTM!T182,0.5),-0.5),""))</f>
        <v/>
      </c>
      <c r="U182" s="14" t="str">
        <f>if(TTM!U182="","",iferror(max(min(TTM!U182,0.5),-0.5),""))</f>
        <v/>
      </c>
      <c r="V182" s="14">
        <f>if(TTM!V182="","",iferror(max(min(TTM!V182,0.5),-0.5),""))</f>
        <v>-0.1916364762</v>
      </c>
      <c r="W182" s="14" t="str">
        <f>if(TTM!W182="","",iferror(max(min(TTM!W182,0.5),-0.5),""))</f>
        <v/>
      </c>
      <c r="X182" s="14">
        <f>if(TTM!X182="","",iferror(max(min(TTM!X182,0.5),-0.5),""))</f>
        <v>0.1872958731</v>
      </c>
      <c r="Y182" s="14" t="str">
        <f>if(TTM!Y182="","",iferror(max(min(TTM!Y182,0.5),-0.5),""))</f>
        <v/>
      </c>
      <c r="Z182" s="14" t="str">
        <f>if(TTM!Z182="","",iferror(max(min(TTM!Z182,0.5),-0.5),""))</f>
        <v/>
      </c>
      <c r="AA182" s="14" t="str">
        <f>if(TTM!AA182="","",iferror(max(min(TTM!AA182,0.5),-0.5),""))</f>
        <v/>
      </c>
      <c r="AB182" s="14" t="str">
        <f>if(TTM!AB182="","",iferror(max(min(TTM!AB182,0.5),-0.5),""))</f>
        <v/>
      </c>
      <c r="AC182" s="14" t="str">
        <f>if(TTM!AC182="","",iferror(max(min(TTM!AC182,0.5),-0.5),""))</f>
        <v/>
      </c>
      <c r="AD182" s="12"/>
    </row>
    <row r="183">
      <c r="A183" s="15" t="s">
        <v>96</v>
      </c>
      <c r="B183" s="14" t="str">
        <f>if(TTM!B183="","",iferror(max(min(TTM!B183,0.5),-0.5),""))</f>
        <v/>
      </c>
      <c r="C183" s="14">
        <f>if(TTM!C183="","",iferror(max(min(TTM!C183,0.5),-0.5),""))</f>
        <v>0.3694090664</v>
      </c>
      <c r="D183" s="14">
        <f>if(TTM!D183="","",iferror(max(min(TTM!D183,0.5),-0.5),""))</f>
        <v>0.1709915477</v>
      </c>
      <c r="E183" s="14">
        <f>if(TTM!E183="","",iferror(max(min(TTM!E183,0.5),-0.5),""))</f>
        <v>0.2032270657</v>
      </c>
      <c r="F183" s="14">
        <f>if(TTM!F183="","",iferror(max(min(TTM!F183,0.5),-0.5),""))</f>
        <v>0.3674093491</v>
      </c>
      <c r="G183" s="14" t="str">
        <f>if(TTM!G183="","",iferror(max(min(TTM!G183,0.5),-0.5),""))</f>
        <v/>
      </c>
      <c r="H183" s="14">
        <f>if(TTM!H183="","",iferror(max(min(TTM!H183,0.5),-0.5),""))</f>
        <v>0.1916372456</v>
      </c>
      <c r="I183" s="14" t="str">
        <f>if(TTM!I183="","",iferror(max(min(TTM!I183,0.5),-0.5),""))</f>
        <v/>
      </c>
      <c r="J183" s="14">
        <f>if(TTM!J183="","",iferror(max(min(TTM!J183,0.5),-0.5),""))</f>
        <v>-0.05003840678</v>
      </c>
      <c r="K183" s="14" t="str">
        <f>if(TTM!K183="","",iferror(max(min(TTM!K183,0.5),-0.5),""))</f>
        <v/>
      </c>
      <c r="L183" s="14" t="str">
        <f>if(TTM!L183="","",iferror(max(min(TTM!L183,0.5),-0.5),""))</f>
        <v/>
      </c>
      <c r="M183" s="14" t="str">
        <f>if(TTM!M183="","",iferror(max(min(TTM!M183,0.5),-0.5),""))</f>
        <v/>
      </c>
      <c r="N183" s="14" t="str">
        <f>if(TTM!N183="","",iferror(max(min(TTM!N183,0.5),-0.5),""))</f>
        <v/>
      </c>
      <c r="O183" s="14">
        <f>if(TTM!O183="","",iferror(max(min(TTM!O183,0.5),-0.5),""))</f>
        <v>0.1813792015</v>
      </c>
      <c r="P183" s="14" t="str">
        <f>if(TTM!P183="","",iferror(max(min(TTM!P183,0.5),-0.5),""))</f>
        <v/>
      </c>
      <c r="Q183" s="14" t="str">
        <f>if(TTM!Q183="","",iferror(max(min(TTM!Q183,0.5),-0.5),""))</f>
        <v/>
      </c>
      <c r="R183" s="14"/>
      <c r="S183" s="14">
        <f>if(TTM!S183="","",iferror(max(min(TTM!S183,0.5),-0.5),""))</f>
        <v>0.1655796152</v>
      </c>
      <c r="T183" s="14" t="str">
        <f>if(TTM!T183="","",iferror(max(min(TTM!T183,0.5),-0.5),""))</f>
        <v/>
      </c>
      <c r="U183" s="14" t="str">
        <f>if(TTM!U183="","",iferror(max(min(TTM!U183,0.5),-0.5),""))</f>
        <v/>
      </c>
      <c r="V183" s="14">
        <f>if(TTM!V183="","",iferror(max(min(TTM!V183,0.5),-0.5),""))</f>
        <v>-0.09577101275</v>
      </c>
      <c r="W183" s="14" t="str">
        <f>if(TTM!W183="","",iferror(max(min(TTM!W183,0.5),-0.5),""))</f>
        <v/>
      </c>
      <c r="X183" s="14">
        <f>if(TTM!X183="","",iferror(max(min(TTM!X183,0.5),-0.5),""))</f>
        <v>0.182416025</v>
      </c>
      <c r="Y183" s="14" t="str">
        <f>if(TTM!Y183="","",iferror(max(min(TTM!Y183,0.5),-0.5),""))</f>
        <v/>
      </c>
      <c r="Z183" s="14" t="str">
        <f>if(TTM!Z183="","",iferror(max(min(TTM!Z183,0.5),-0.5),""))</f>
        <v/>
      </c>
      <c r="AA183" s="14" t="str">
        <f>if(TTM!AA183="","",iferror(max(min(TTM!AA183,0.5),-0.5),""))</f>
        <v/>
      </c>
      <c r="AB183" s="14" t="str">
        <f>if(TTM!AB183="","",iferror(max(min(TTM!AB183,0.5),-0.5),""))</f>
        <v/>
      </c>
      <c r="AC183" s="14" t="str">
        <f>if(TTM!AC183="","",iferror(max(min(TTM!AC183,0.5),-0.5),""))</f>
        <v/>
      </c>
      <c r="AD183" s="12"/>
    </row>
    <row r="184">
      <c r="A184" s="15" t="s">
        <v>97</v>
      </c>
      <c r="B184" s="14" t="str">
        <f>if(TTM!B184="","",iferror(max(min(TTM!B184,0.5),-0.5),""))</f>
        <v/>
      </c>
      <c r="C184" s="14">
        <f>if(TTM!C184="","",iferror(max(min(TTM!C184,0.5),-0.5),""))</f>
        <v>0.3724827058</v>
      </c>
      <c r="D184" s="14">
        <f>if(TTM!D184="","",iferror(max(min(TTM!D184,0.5),-0.5),""))</f>
        <v>0.1663975902</v>
      </c>
      <c r="E184" s="14">
        <f>if(TTM!E184="","",iferror(max(min(TTM!E184,0.5),-0.5),""))</f>
        <v>0.202275866</v>
      </c>
      <c r="F184" s="14">
        <f>if(TTM!F184="","",iferror(max(min(TTM!F184,0.5),-0.5),""))</f>
        <v>0.3492063492</v>
      </c>
      <c r="G184" s="14" t="str">
        <f>if(TTM!G184="","",iferror(max(min(TTM!G184,0.5),-0.5),""))</f>
        <v/>
      </c>
      <c r="H184" s="14">
        <f>if(TTM!H184="","",iferror(max(min(TTM!H184,0.5),-0.5),""))</f>
        <v>0.1827719842</v>
      </c>
      <c r="I184" s="14" t="str">
        <f>if(TTM!I184="","",iferror(max(min(TTM!I184,0.5),-0.5),""))</f>
        <v/>
      </c>
      <c r="J184" s="14">
        <f>if(TTM!J184="","",iferror(max(min(TTM!J184,0.5),-0.5),""))</f>
        <v>-0.04394390607</v>
      </c>
      <c r="K184" s="14" t="str">
        <f>if(TTM!K184="","",iferror(max(min(TTM!K184,0.5),-0.5),""))</f>
        <v/>
      </c>
      <c r="L184" s="14" t="str">
        <f>if(TTM!L184="","",iferror(max(min(TTM!L184,0.5),-0.5),""))</f>
        <v/>
      </c>
      <c r="M184" s="14" t="str">
        <f>if(TTM!M184="","",iferror(max(min(TTM!M184,0.5),-0.5),""))</f>
        <v/>
      </c>
      <c r="N184" s="14" t="str">
        <f>if(TTM!N184="","",iferror(max(min(TTM!N184,0.5),-0.5),""))</f>
        <v/>
      </c>
      <c r="O184" s="14">
        <f>if(TTM!O184="","",iferror(max(min(TTM!O184,0.5),-0.5),""))</f>
        <v>0.2016888502</v>
      </c>
      <c r="P184" s="14" t="str">
        <f>if(TTM!P184="","",iferror(max(min(TTM!P184,0.5),-0.5),""))</f>
        <v/>
      </c>
      <c r="Q184" s="14" t="str">
        <f>if(TTM!Q184="","",iferror(max(min(TTM!Q184,0.5),-0.5),""))</f>
        <v/>
      </c>
      <c r="R184" s="14"/>
      <c r="S184" s="14">
        <f>if(TTM!S184="","",iferror(max(min(TTM!S184,0.5),-0.5),""))</f>
        <v>0.1704938104</v>
      </c>
      <c r="T184" s="14" t="str">
        <f>if(TTM!T184="","",iferror(max(min(TTM!T184,0.5),-0.5),""))</f>
        <v/>
      </c>
      <c r="U184" s="14" t="str">
        <f>if(TTM!U184="","",iferror(max(min(TTM!U184,0.5),-0.5),""))</f>
        <v/>
      </c>
      <c r="V184" s="14">
        <f>if(TTM!V184="","",iferror(max(min(TTM!V184,0.5),-0.5),""))</f>
        <v>0.00009445066901</v>
      </c>
      <c r="W184" s="14" t="str">
        <f>if(TTM!W184="","",iferror(max(min(TTM!W184,0.5),-0.5),""))</f>
        <v/>
      </c>
      <c r="X184" s="14">
        <f>if(TTM!X184="","",iferror(max(min(TTM!X184,0.5),-0.5),""))</f>
        <v>0.1775361769</v>
      </c>
      <c r="Y184" s="14" t="str">
        <f>if(TTM!Y184="","",iferror(max(min(TTM!Y184,0.5),-0.5),""))</f>
        <v/>
      </c>
      <c r="Z184" s="14" t="str">
        <f>if(TTM!Z184="","",iferror(max(min(TTM!Z184,0.5),-0.5),""))</f>
        <v/>
      </c>
      <c r="AA184" s="14" t="str">
        <f>if(TTM!AA184="","",iferror(max(min(TTM!AA184,0.5),-0.5),""))</f>
        <v/>
      </c>
      <c r="AB184" s="14" t="str">
        <f>if(TTM!AB184="","",iferror(max(min(TTM!AB184,0.5),-0.5),""))</f>
        <v/>
      </c>
      <c r="AC184" s="14" t="str">
        <f>if(TTM!AC184="","",iferror(max(min(TTM!AC184,0.5),-0.5),""))</f>
        <v/>
      </c>
      <c r="AD184" s="12"/>
    </row>
    <row r="185">
      <c r="A185" s="15" t="s">
        <v>98</v>
      </c>
      <c r="B185" s="14" t="str">
        <f>if(TTM!B185="","",iferror(max(min(TTM!B185,0.5),-0.5),""))</f>
        <v/>
      </c>
      <c r="C185" s="14">
        <f>if(TTM!C185="","",iferror(max(min(TTM!C185,0.5),-0.5),""))</f>
        <v>0.3765292667</v>
      </c>
      <c r="D185" s="14">
        <f>if(TTM!D185="","",iferror(max(min(TTM!D185,0.5),-0.5),""))</f>
        <v>0.1651542012</v>
      </c>
      <c r="E185" s="14">
        <f>if(TTM!E185="","",iferror(max(min(TTM!E185,0.5),-0.5),""))</f>
        <v>0.1527727601</v>
      </c>
      <c r="F185" s="14">
        <f>if(TTM!F185="","",iferror(max(min(TTM!F185,0.5),-0.5),""))</f>
        <v>0.3439673622</v>
      </c>
      <c r="G185" s="14" t="str">
        <f>if(TTM!G185="","",iferror(max(min(TTM!G185,0.5),-0.5),""))</f>
        <v/>
      </c>
      <c r="H185" s="14">
        <f>if(TTM!H185="","",iferror(max(min(TTM!H185,0.5),-0.5),""))</f>
        <v>0.1739067228</v>
      </c>
      <c r="I185" s="14" t="str">
        <f>if(TTM!I185="","",iferror(max(min(TTM!I185,0.5),-0.5),""))</f>
        <v/>
      </c>
      <c r="J185" s="14">
        <f>if(TTM!J185="","",iferror(max(min(TTM!J185,0.5),-0.5),""))</f>
        <v>-0.03784940536</v>
      </c>
      <c r="K185" s="14" t="str">
        <f>if(TTM!K185="","",iferror(max(min(TTM!K185,0.5),-0.5),""))</f>
        <v/>
      </c>
      <c r="L185" s="14" t="str">
        <f>if(TTM!L185="","",iferror(max(min(TTM!L185,0.5),-0.5),""))</f>
        <v/>
      </c>
      <c r="M185" s="14" t="str">
        <f>if(TTM!M185="","",iferror(max(min(TTM!M185,0.5),-0.5),""))</f>
        <v/>
      </c>
      <c r="N185" s="14" t="str">
        <f>if(TTM!N185="","",iferror(max(min(TTM!N185,0.5),-0.5),""))</f>
        <v/>
      </c>
      <c r="O185" s="14">
        <f>if(TTM!O185="","",iferror(max(min(TTM!O185,0.5),-0.5),""))</f>
        <v>0.2219984989</v>
      </c>
      <c r="P185" s="14" t="str">
        <f>if(TTM!P185="","",iferror(max(min(TTM!P185,0.5),-0.5),""))</f>
        <v/>
      </c>
      <c r="Q185" s="14" t="str">
        <f>if(TTM!Q185="","",iferror(max(min(TTM!Q185,0.5),-0.5),""))</f>
        <v/>
      </c>
      <c r="R185" s="14"/>
      <c r="S185" s="14">
        <f>if(TTM!S185="","",iferror(max(min(TTM!S185,0.5),-0.5),""))</f>
        <v>0.168441756</v>
      </c>
      <c r="T185" s="14" t="str">
        <f>if(TTM!T185="","",iferror(max(min(TTM!T185,0.5),-0.5),""))</f>
        <v/>
      </c>
      <c r="U185" s="14" t="str">
        <f>if(TTM!U185="","",iferror(max(min(TTM!U185,0.5),-0.5),""))</f>
        <v/>
      </c>
      <c r="V185" s="14">
        <f>if(TTM!V185="","",iferror(max(min(TTM!V185,0.5),-0.5),""))</f>
        <v>0.01202380617</v>
      </c>
      <c r="W185" s="14" t="str">
        <f>if(TTM!W185="","",iferror(max(min(TTM!W185,0.5),-0.5),""))</f>
        <v/>
      </c>
      <c r="X185" s="14">
        <f>if(TTM!X185="","",iferror(max(min(TTM!X185,0.5),-0.5),""))</f>
        <v>0.1726563288</v>
      </c>
      <c r="Y185" s="14">
        <f>if(TTM!Y185="","",iferror(max(min(TTM!Y185,0.5),-0.5),""))</f>
        <v>0.1423151191</v>
      </c>
      <c r="Z185" s="14" t="str">
        <f>if(TTM!Z185="","",iferror(max(min(TTM!Z185,0.5),-0.5),""))</f>
        <v/>
      </c>
      <c r="AA185" s="14">
        <f>if(TTM!AA185="","",iferror(max(min(TTM!AA185,0.5),-0.5),""))</f>
        <v>0.05768314</v>
      </c>
      <c r="AB185" s="14" t="str">
        <f>if(TTM!AB185="","",iferror(max(min(TTM!AB185,0.5),-0.5),""))</f>
        <v/>
      </c>
      <c r="AC185" s="14" t="str">
        <f>if(TTM!AC185="","",iferror(max(min(TTM!AC185,0.5),-0.5),""))</f>
        <v/>
      </c>
      <c r="AD185" s="12"/>
    </row>
    <row r="186">
      <c r="A186" s="15" t="s">
        <v>99</v>
      </c>
      <c r="B186" s="14" t="str">
        <f>if(TTM!B186="","",iferror(max(min(TTM!B186,0.5),-0.5),""))</f>
        <v/>
      </c>
      <c r="C186" s="14">
        <f>if(TTM!C186="","",iferror(max(min(TTM!C186,0.5),-0.5),""))</f>
        <v>0.3805758276</v>
      </c>
      <c r="D186" s="14">
        <f>if(TTM!D186="","",iferror(max(min(TTM!D186,0.5),-0.5),""))</f>
        <v>0.1639108122</v>
      </c>
      <c r="E186" s="14">
        <f>if(TTM!E186="","",iferror(max(min(TTM!E186,0.5),-0.5),""))</f>
        <v>0.1032696541</v>
      </c>
      <c r="F186" s="14">
        <f>if(TTM!F186="","",iferror(max(min(TTM!F186,0.5),-0.5),""))</f>
        <v>0.3387283752</v>
      </c>
      <c r="G186" s="14" t="str">
        <f>if(TTM!G186="","",iferror(max(min(TTM!G186,0.5),-0.5),""))</f>
        <v/>
      </c>
      <c r="H186" s="14">
        <f>if(TTM!H186="","",iferror(max(min(TTM!H186,0.5),-0.5),""))</f>
        <v>0.3156737753</v>
      </c>
      <c r="I186" s="14" t="str">
        <f>if(TTM!I186="","",iferror(max(min(TTM!I186,0.5),-0.5),""))</f>
        <v/>
      </c>
      <c r="J186" s="14">
        <f>if(TTM!J186="","",iferror(max(min(TTM!J186,0.5),-0.5),""))</f>
        <v>-0.03378112753</v>
      </c>
      <c r="K186" s="14" t="str">
        <f>if(TTM!K186="","",iferror(max(min(TTM!K186,0.5),-0.5),""))</f>
        <v/>
      </c>
      <c r="L186" s="14" t="str">
        <f>if(TTM!L186="","",iferror(max(min(TTM!L186,0.5),-0.5),""))</f>
        <v/>
      </c>
      <c r="M186" s="14" t="str">
        <f>if(TTM!M186="","",iferror(max(min(TTM!M186,0.5),-0.5),""))</f>
        <v/>
      </c>
      <c r="N186" s="14" t="str">
        <f>if(TTM!N186="","",iferror(max(min(TTM!N186,0.5),-0.5),""))</f>
        <v/>
      </c>
      <c r="O186" s="14">
        <f>if(TTM!O186="","",iferror(max(min(TTM!O186,0.5),-0.5),""))</f>
        <v>0.2423081476</v>
      </c>
      <c r="P186" s="14" t="str">
        <f>if(TTM!P186="","",iferror(max(min(TTM!P186,0.5),-0.5),""))</f>
        <v/>
      </c>
      <c r="Q186" s="14" t="str">
        <f>if(TTM!Q186="","",iferror(max(min(TTM!Q186,0.5),-0.5),""))</f>
        <v/>
      </c>
      <c r="R186" s="14"/>
      <c r="S186" s="14">
        <f>if(TTM!S186="","",iferror(max(min(TTM!S186,0.5),-0.5),""))</f>
        <v>0.1663897015</v>
      </c>
      <c r="T186" s="14" t="str">
        <f>if(TTM!T186="","",iferror(max(min(TTM!T186,0.5),-0.5),""))</f>
        <v/>
      </c>
      <c r="U186" s="14" t="str">
        <f>if(TTM!U186="","",iferror(max(min(TTM!U186,0.5),-0.5),""))</f>
        <v/>
      </c>
      <c r="V186" s="14">
        <f>if(TTM!V186="","",iferror(max(min(TTM!V186,0.5),-0.5),""))</f>
        <v>0.02395316166</v>
      </c>
      <c r="W186" s="14" t="str">
        <f>if(TTM!W186="","",iferror(max(min(TTM!W186,0.5),-0.5),""))</f>
        <v/>
      </c>
      <c r="X186" s="14">
        <f>if(TTM!X186="","",iferror(max(min(TTM!X186,0.5),-0.5),""))</f>
        <v>0.1677764807</v>
      </c>
      <c r="Y186" s="14">
        <f>if(TTM!Y186="","",iferror(max(min(TTM!Y186,0.5),-0.5),""))</f>
        <v>0.1423151191</v>
      </c>
      <c r="Z186" s="14" t="str">
        <f>if(TTM!Z186="","",iferror(max(min(TTM!Z186,0.5),-0.5),""))</f>
        <v/>
      </c>
      <c r="AA186" s="14">
        <f>if(TTM!AA186="","",iferror(max(min(TTM!AA186,0.5),-0.5),""))</f>
        <v>0.05768314</v>
      </c>
      <c r="AB186" s="14" t="str">
        <f>if(TTM!AB186="","",iferror(max(min(TTM!AB186,0.5),-0.5),""))</f>
        <v/>
      </c>
      <c r="AC186" s="14" t="str">
        <f>if(TTM!AC186="","",iferror(max(min(TTM!AC186,0.5),-0.5),""))</f>
        <v/>
      </c>
      <c r="AD186" s="12"/>
    </row>
    <row r="187">
      <c r="A187" s="15" t="s">
        <v>100</v>
      </c>
      <c r="B187" s="14" t="str">
        <f>if(TTM!B187="","",iferror(max(min(TTM!B187,0.5),-0.5),""))</f>
        <v/>
      </c>
      <c r="C187" s="14">
        <f>if(TTM!C187="","",iferror(max(min(TTM!C187,0.5),-0.5),""))</f>
        <v>0.3846223885</v>
      </c>
      <c r="D187" s="14">
        <f>if(TTM!D187="","",iferror(max(min(TTM!D187,0.5),-0.5),""))</f>
        <v>0.1626674232</v>
      </c>
      <c r="E187" s="14">
        <f>if(TTM!E187="","",iferror(max(min(TTM!E187,0.5),-0.5),""))</f>
        <v>0.05376654819</v>
      </c>
      <c r="F187" s="14">
        <f>if(TTM!F187="","",iferror(max(min(TTM!F187,0.5),-0.5),""))</f>
        <v>0.3334893883</v>
      </c>
      <c r="G187" s="14" t="str">
        <f>if(TTM!G187="","",iferror(max(min(TTM!G187,0.5),-0.5),""))</f>
        <v/>
      </c>
      <c r="H187" s="14">
        <f>if(TTM!H187="","",iferror(max(min(TTM!H187,0.5),-0.5),""))</f>
        <v>0.4574408279</v>
      </c>
      <c r="I187" s="14" t="str">
        <f>if(TTM!I187="","",iferror(max(min(TTM!I187,0.5),-0.5),""))</f>
        <v/>
      </c>
      <c r="J187" s="14">
        <f>if(TTM!J187="","",iferror(max(min(TTM!J187,0.5),-0.5),""))</f>
        <v>-0.0297128497</v>
      </c>
      <c r="K187" s="14" t="str">
        <f>if(TTM!K187="","",iferror(max(min(TTM!K187,0.5),-0.5),""))</f>
        <v/>
      </c>
      <c r="L187" s="14" t="str">
        <f>if(TTM!L187="","",iferror(max(min(TTM!L187,0.5),-0.5),""))</f>
        <v/>
      </c>
      <c r="M187" s="14" t="str">
        <f>if(TTM!M187="","",iferror(max(min(TTM!M187,0.5),-0.5),""))</f>
        <v/>
      </c>
      <c r="N187" s="14" t="str">
        <f>if(TTM!N187="","",iferror(max(min(TTM!N187,0.5),-0.5),""))</f>
        <v/>
      </c>
      <c r="O187" s="14">
        <f>if(TTM!O187="","",iferror(max(min(TTM!O187,0.5),-0.5),""))</f>
        <v>0.2435412351</v>
      </c>
      <c r="P187" s="14" t="str">
        <f>if(TTM!P187="","",iferror(max(min(TTM!P187,0.5),-0.5),""))</f>
        <v/>
      </c>
      <c r="Q187" s="14" t="str">
        <f>if(TTM!Q187="","",iferror(max(min(TTM!Q187,0.5),-0.5),""))</f>
        <v/>
      </c>
      <c r="R187" s="14"/>
      <c r="S187" s="14">
        <f>if(TTM!S187="","",iferror(max(min(TTM!S187,0.5),-0.5),""))</f>
        <v>0.1643376471</v>
      </c>
      <c r="T187" s="14" t="str">
        <f>if(TTM!T187="","",iferror(max(min(TTM!T187,0.5),-0.5),""))</f>
        <v/>
      </c>
      <c r="U187" s="14" t="str">
        <f>if(TTM!U187="","",iferror(max(min(TTM!U187,0.5),-0.5),""))</f>
        <v/>
      </c>
      <c r="V187" s="14">
        <f>if(TTM!V187="","",iferror(max(min(TTM!V187,0.5),-0.5),""))</f>
        <v>0.03588251716</v>
      </c>
      <c r="W187" s="14" t="str">
        <f>if(TTM!W187="","",iferror(max(min(TTM!W187,0.5),-0.5),""))</f>
        <v/>
      </c>
      <c r="X187" s="14">
        <f>if(TTM!X187="","",iferror(max(min(TTM!X187,0.5),-0.5),""))</f>
        <v>0.1841522247</v>
      </c>
      <c r="Y187" s="14">
        <f>if(TTM!Y187="","",iferror(max(min(TTM!Y187,0.5),-0.5),""))</f>
        <v>0.1423151191</v>
      </c>
      <c r="Z187" s="14" t="str">
        <f>if(TTM!Z187="","",iferror(max(min(TTM!Z187,0.5),-0.5),""))</f>
        <v/>
      </c>
      <c r="AA187" s="14">
        <f>if(TTM!AA187="","",iferror(max(min(TTM!AA187,0.5),-0.5),""))</f>
        <v>0.05768314</v>
      </c>
      <c r="AB187" s="14" t="str">
        <f>if(TTM!AB187="","",iferror(max(min(TTM!AB187,0.5),-0.5),""))</f>
        <v/>
      </c>
      <c r="AC187" s="14" t="str">
        <f>if(TTM!AC187="","",iferror(max(min(TTM!AC187,0.5),-0.5),""))</f>
        <v/>
      </c>
      <c r="AD187" s="12"/>
    </row>
    <row r="188">
      <c r="A188" s="15" t="s">
        <v>101</v>
      </c>
      <c r="B188" s="14" t="str">
        <f>if(TTM!B188="","",iferror(max(min(TTM!B188,0.5),-0.5),""))</f>
        <v/>
      </c>
      <c r="C188" s="14">
        <f>if(TTM!C188="","",iferror(max(min(TTM!C188,0.5),-0.5),""))</f>
        <v>0.3886689495</v>
      </c>
      <c r="D188" s="14">
        <f>if(TTM!D188="","",iferror(max(min(TTM!D188,0.5),-0.5),""))</f>
        <v>0.1614240342</v>
      </c>
      <c r="E188" s="14">
        <f>if(TTM!E188="","",iferror(max(min(TTM!E188,0.5),-0.5),""))</f>
        <v>0.004263442253</v>
      </c>
      <c r="F188" s="14">
        <f>if(TTM!F188="","",iferror(max(min(TTM!F188,0.5),-0.5),""))</f>
        <v>0.3282504013</v>
      </c>
      <c r="G188" s="14">
        <f>if(TTM!G188="","",iferror(max(min(TTM!G188,0.5),-0.5),""))</f>
        <v>-0.000870699755</v>
      </c>
      <c r="H188" s="14">
        <f>if(TTM!H188="","",iferror(max(min(TTM!H188,0.5),-0.5),""))</f>
        <v>0.5</v>
      </c>
      <c r="I188" s="14" t="str">
        <f>if(TTM!I188="","",iferror(max(min(TTM!I188,0.5),-0.5),""))</f>
        <v/>
      </c>
      <c r="J188" s="14">
        <f>if(TTM!J188="","",iferror(max(min(TTM!J188,0.5),-0.5),""))</f>
        <v>-0.02564457186</v>
      </c>
      <c r="K188" s="14" t="str">
        <f>if(TTM!K188="","",iferror(max(min(TTM!K188,0.5),-0.5),""))</f>
        <v/>
      </c>
      <c r="L188" s="14" t="str">
        <f>if(TTM!L188="","",iferror(max(min(TTM!L188,0.5),-0.5),""))</f>
        <v/>
      </c>
      <c r="M188" s="14" t="str">
        <f>if(TTM!M188="","",iferror(max(min(TTM!M188,0.5),-0.5),""))</f>
        <v/>
      </c>
      <c r="N188" s="14" t="str">
        <f>if(TTM!N188="","",iferror(max(min(TTM!N188,0.5),-0.5),""))</f>
        <v/>
      </c>
      <c r="O188" s="14">
        <f>if(TTM!O188="","",iferror(max(min(TTM!O188,0.5),-0.5),""))</f>
        <v>0.2447743225</v>
      </c>
      <c r="P188" s="14" t="str">
        <f>if(TTM!P188="","",iferror(max(min(TTM!P188,0.5),-0.5),""))</f>
        <v/>
      </c>
      <c r="Q188" s="14" t="str">
        <f>if(TTM!Q188="","",iferror(max(min(TTM!Q188,0.5),-0.5),""))</f>
        <v/>
      </c>
      <c r="R188" s="14"/>
      <c r="S188" s="14">
        <f>if(TTM!S188="","",iferror(max(min(TTM!S188,0.5),-0.5),""))</f>
        <v>0.1622855926</v>
      </c>
      <c r="T188" s="14" t="str">
        <f>if(TTM!T188="","",iferror(max(min(TTM!T188,0.5),-0.5),""))</f>
        <v/>
      </c>
      <c r="U188" s="14" t="str">
        <f>if(TTM!U188="","",iferror(max(min(TTM!U188,0.5),-0.5),""))</f>
        <v/>
      </c>
      <c r="V188" s="14">
        <f>if(TTM!V188="","",iferror(max(min(TTM!V188,0.5),-0.5),""))</f>
        <v>0.04781187266</v>
      </c>
      <c r="W188" s="14" t="str">
        <f>if(TTM!W188="","",iferror(max(min(TTM!W188,0.5),-0.5),""))</f>
        <v/>
      </c>
      <c r="X188" s="14">
        <f>if(TTM!X188="","",iferror(max(min(TTM!X188,0.5),-0.5),""))</f>
        <v>0.2005279686</v>
      </c>
      <c r="Y188" s="14">
        <f>if(TTM!Y188="","",iferror(max(min(TTM!Y188,0.5),-0.5),""))</f>
        <v>0.1423151191</v>
      </c>
      <c r="Z188" s="14" t="str">
        <f>if(TTM!Z188="","",iferror(max(min(TTM!Z188,0.5),-0.5),""))</f>
        <v/>
      </c>
      <c r="AA188" s="14">
        <f>if(TTM!AA188="","",iferror(max(min(TTM!AA188,0.5),-0.5),""))</f>
        <v>0.05768314</v>
      </c>
      <c r="AB188" s="14" t="str">
        <f>if(TTM!AB188="","",iferror(max(min(TTM!AB188,0.5),-0.5),""))</f>
        <v/>
      </c>
      <c r="AC188" s="14" t="str">
        <f>if(TTM!AC188="","",iferror(max(min(TTM!AC188,0.5),-0.5),""))</f>
        <v/>
      </c>
      <c r="AD188" s="12"/>
    </row>
    <row r="189">
      <c r="A189" s="15" t="s">
        <v>102</v>
      </c>
      <c r="B189" s="14" t="str">
        <f>if(TTM!B189="","",iferror(max(min(TTM!B189,0.5),-0.5),""))</f>
        <v/>
      </c>
      <c r="C189" s="14">
        <f>if(TTM!C189="","",iferror(max(min(TTM!C189,0.5),-0.5),""))</f>
        <v>0.3872141464</v>
      </c>
      <c r="D189" s="14">
        <f>if(TTM!D189="","",iferror(max(min(TTM!D189,0.5),-0.5),""))</f>
        <v>0.1553213068</v>
      </c>
      <c r="E189" s="14">
        <f>if(TTM!E189="","",iferror(max(min(TTM!E189,0.5),-0.5),""))</f>
        <v>0.01919332017</v>
      </c>
      <c r="F189" s="14">
        <f>if(TTM!F189="","",iferror(max(min(TTM!F189,0.5),-0.5),""))</f>
        <v>0.3006449055</v>
      </c>
      <c r="G189" s="14">
        <f>if(TTM!G189="","",iferror(max(min(TTM!G189,0.5),-0.5),""))</f>
        <v>-0.008274308713</v>
      </c>
      <c r="H189" s="14">
        <f>if(TTM!H189="","",iferror(max(min(TTM!H189,0.5),-0.5),""))</f>
        <v>0.5</v>
      </c>
      <c r="I189" s="14" t="str">
        <f>if(TTM!I189="","",iferror(max(min(TTM!I189,0.5),-0.5),""))</f>
        <v/>
      </c>
      <c r="J189" s="14">
        <f>if(TTM!J189="","",iferror(max(min(TTM!J189,0.5),-0.5),""))</f>
        <v>-0.02157629403</v>
      </c>
      <c r="K189" s="14" t="str">
        <f>if(TTM!K189="","",iferror(max(min(TTM!K189,0.5),-0.5),""))</f>
        <v/>
      </c>
      <c r="L189" s="14" t="str">
        <f>if(TTM!L189="","",iferror(max(min(TTM!L189,0.5),-0.5),""))</f>
        <v/>
      </c>
      <c r="M189" s="14" t="str">
        <f>if(TTM!M189="","",iferror(max(min(TTM!M189,0.5),-0.5),""))</f>
        <v/>
      </c>
      <c r="N189" s="14" t="str">
        <f>if(TTM!N189="","",iferror(max(min(TTM!N189,0.5),-0.5),""))</f>
        <v/>
      </c>
      <c r="O189" s="14">
        <f>if(TTM!O189="","",iferror(max(min(TTM!O189,0.5),-0.5),""))</f>
        <v>0.24600741</v>
      </c>
      <c r="P189" s="14" t="str">
        <f>if(TTM!P189="","",iferror(max(min(TTM!P189,0.5),-0.5),""))</f>
        <v/>
      </c>
      <c r="Q189" s="14" t="str">
        <f>if(TTM!Q189="","",iferror(max(min(TTM!Q189,0.5),-0.5),""))</f>
        <v/>
      </c>
      <c r="R189" s="14"/>
      <c r="S189" s="14">
        <f>if(TTM!S189="","",iferror(max(min(TTM!S189,0.5),-0.5),""))</f>
        <v>0.1107728951</v>
      </c>
      <c r="T189" s="14" t="str">
        <f>if(TTM!T189="","",iferror(max(min(TTM!T189,0.5),-0.5),""))</f>
        <v/>
      </c>
      <c r="U189" s="14" t="str">
        <f>if(TTM!U189="","",iferror(max(min(TTM!U189,0.5),-0.5),""))</f>
        <v/>
      </c>
      <c r="V189" s="14">
        <f>if(TTM!V189="","",iferror(max(min(TTM!V189,0.5),-0.5),""))</f>
        <v>0.04781187266</v>
      </c>
      <c r="W189" s="14" t="str">
        <f>if(TTM!W189="","",iferror(max(min(TTM!W189,0.5),-0.5),""))</f>
        <v/>
      </c>
      <c r="X189" s="14">
        <f>if(TTM!X189="","",iferror(max(min(TTM!X189,0.5),-0.5),""))</f>
        <v>0.2169037126</v>
      </c>
      <c r="Y189" s="14">
        <f>if(TTM!Y189="","",iferror(max(min(TTM!Y189,0.5),-0.5),""))</f>
        <v>0.1317367941</v>
      </c>
      <c r="Z189" s="14">
        <f>if(TTM!Z189="","",iferror(max(min(TTM!Z189,0.5),-0.5),""))</f>
        <v>0.3280318091</v>
      </c>
      <c r="AA189" s="14">
        <f>if(TTM!AA189="","",iferror(max(min(TTM!AA189,0.5),-0.5),""))</f>
        <v>0.04908467495</v>
      </c>
      <c r="AB189" s="14" t="str">
        <f>if(TTM!AB189="","",iferror(max(min(TTM!AB189,0.5),-0.5),""))</f>
        <v/>
      </c>
      <c r="AC189" s="14" t="str">
        <f>if(TTM!AC189="","",iferror(max(min(TTM!AC189,0.5),-0.5),""))</f>
        <v/>
      </c>
      <c r="AD189" s="12"/>
    </row>
    <row r="190">
      <c r="A190" s="15" t="s">
        <v>103</v>
      </c>
      <c r="B190" s="14" t="str">
        <f>if(TTM!B190="","",iferror(max(min(TTM!B190,0.5),-0.5),""))</f>
        <v/>
      </c>
      <c r="C190" s="14">
        <f>if(TTM!C190="","",iferror(max(min(TTM!C190,0.5),-0.5),""))</f>
        <v>0.3857593434</v>
      </c>
      <c r="D190" s="14">
        <f>if(TTM!D190="","",iferror(max(min(TTM!D190,0.5),-0.5),""))</f>
        <v>0.1492185794</v>
      </c>
      <c r="E190" s="14">
        <f>if(TTM!E190="","",iferror(max(min(TTM!E190,0.5),-0.5),""))</f>
        <v>0.03412319809</v>
      </c>
      <c r="F190" s="14">
        <f>if(TTM!F190="","",iferror(max(min(TTM!F190,0.5),-0.5),""))</f>
        <v>0.2730394098</v>
      </c>
      <c r="G190" s="14">
        <f>if(TTM!G190="","",iferror(max(min(TTM!G190,0.5),-0.5),""))</f>
        <v>-0.01567791767</v>
      </c>
      <c r="H190" s="14">
        <f>if(TTM!H190="","",iferror(max(min(TTM!H190,0.5),-0.5),""))</f>
        <v>0.5</v>
      </c>
      <c r="I190" s="14" t="str">
        <f>if(TTM!I190="","",iferror(max(min(TTM!I190,0.5),-0.5),""))</f>
        <v/>
      </c>
      <c r="J190" s="14">
        <f>if(TTM!J190="","",iferror(max(min(TTM!J190,0.5),-0.5),""))</f>
        <v>-0.05736382186</v>
      </c>
      <c r="K190" s="14" t="str">
        <f>if(TTM!K190="","",iferror(max(min(TTM!K190,0.5),-0.5),""))</f>
        <v/>
      </c>
      <c r="L190" s="14" t="str">
        <f>if(TTM!L190="","",iferror(max(min(TTM!L190,0.5),-0.5),""))</f>
        <v/>
      </c>
      <c r="M190" s="14" t="str">
        <f>if(TTM!M190="","",iferror(max(min(TTM!M190,0.5),-0.5),""))</f>
        <v/>
      </c>
      <c r="N190" s="14" t="str">
        <f>if(TTM!N190="","",iferror(max(min(TTM!N190,0.5),-0.5),""))</f>
        <v/>
      </c>
      <c r="O190" s="14">
        <f>if(TTM!O190="","",iferror(max(min(TTM!O190,0.5),-0.5),""))</f>
        <v>0.2472404975</v>
      </c>
      <c r="P190" s="14" t="str">
        <f>if(TTM!P190="","",iferror(max(min(TTM!P190,0.5),-0.5),""))</f>
        <v/>
      </c>
      <c r="Q190" s="14" t="str">
        <f>if(TTM!Q190="","",iferror(max(min(TTM!Q190,0.5),-0.5),""))</f>
        <v/>
      </c>
      <c r="R190" s="14"/>
      <c r="S190" s="14">
        <f>if(TTM!S190="","",iferror(max(min(TTM!S190,0.5),-0.5),""))</f>
        <v>0.05926019754</v>
      </c>
      <c r="T190" s="14" t="str">
        <f>if(TTM!T190="","",iferror(max(min(TTM!T190,0.5),-0.5),""))</f>
        <v/>
      </c>
      <c r="U190" s="14" t="str">
        <f>if(TTM!U190="","",iferror(max(min(TTM!U190,0.5),-0.5),""))</f>
        <v/>
      </c>
      <c r="V190" s="14">
        <f>if(TTM!V190="","",iferror(max(min(TTM!V190,0.5),-0.5),""))</f>
        <v>0.04781187266</v>
      </c>
      <c r="W190" s="14" t="str">
        <f>if(TTM!W190="","",iferror(max(min(TTM!W190,0.5),-0.5),""))</f>
        <v/>
      </c>
      <c r="X190" s="14">
        <f>if(TTM!X190="","",iferror(max(min(TTM!X190,0.5),-0.5),""))</f>
        <v>0.2332794565</v>
      </c>
      <c r="Y190" s="14">
        <f>if(TTM!Y190="","",iferror(max(min(TTM!Y190,0.5),-0.5),""))</f>
        <v>0.1211584691</v>
      </c>
      <c r="Z190" s="14">
        <f>if(TTM!Z190="","",iferror(max(min(TTM!Z190,0.5),-0.5),""))</f>
        <v>0.3280318091</v>
      </c>
      <c r="AA190" s="14">
        <f>if(TTM!AA190="","",iferror(max(min(TTM!AA190,0.5),-0.5),""))</f>
        <v>0.0404862099</v>
      </c>
      <c r="AB190" s="14" t="str">
        <f>if(TTM!AB190="","",iferror(max(min(TTM!AB190,0.5),-0.5),""))</f>
        <v/>
      </c>
      <c r="AC190" s="14" t="str">
        <f>if(TTM!AC190="","",iferror(max(min(TTM!AC190,0.5),-0.5),""))</f>
        <v/>
      </c>
      <c r="AD190" s="12"/>
    </row>
    <row r="191">
      <c r="A191" s="15" t="s">
        <v>104</v>
      </c>
      <c r="B191" s="14" t="str">
        <f>if(TTM!B191="","",iferror(max(min(TTM!B191,0.5),-0.5),""))</f>
        <v/>
      </c>
      <c r="C191" s="14">
        <f>if(TTM!C191="","",iferror(max(min(TTM!C191,0.5),-0.5),""))</f>
        <v>0.3843045404</v>
      </c>
      <c r="D191" s="14">
        <f>if(TTM!D191="","",iferror(max(min(TTM!D191,0.5),-0.5),""))</f>
        <v>0.143115852</v>
      </c>
      <c r="E191" s="14">
        <f>if(TTM!E191="","",iferror(max(min(TTM!E191,0.5),-0.5),""))</f>
        <v>0.04905307601</v>
      </c>
      <c r="F191" s="14">
        <f>if(TTM!F191="","",iferror(max(min(TTM!F191,0.5),-0.5),""))</f>
        <v>0.245433914</v>
      </c>
      <c r="G191" s="14">
        <f>if(TTM!G191="","",iferror(max(min(TTM!G191,0.5),-0.5),""))</f>
        <v>-0.02308152663</v>
      </c>
      <c r="H191" s="14">
        <f>if(TTM!H191="","",iferror(max(min(TTM!H191,0.5),-0.5),""))</f>
        <v>0.4099085937</v>
      </c>
      <c r="I191" s="14" t="str">
        <f>if(TTM!I191="","",iferror(max(min(TTM!I191,0.5),-0.5),""))</f>
        <v/>
      </c>
      <c r="J191" s="14">
        <f>if(TTM!J191="","",iferror(max(min(TTM!J191,0.5),-0.5),""))</f>
        <v>-0.09315134969</v>
      </c>
      <c r="K191" s="14" t="str">
        <f>if(TTM!K191="","",iferror(max(min(TTM!K191,0.5),-0.5),""))</f>
        <v/>
      </c>
      <c r="L191" s="14" t="str">
        <f>if(TTM!L191="","",iferror(max(min(TTM!L191,0.5),-0.5),""))</f>
        <v/>
      </c>
      <c r="M191" s="14" t="str">
        <f>if(TTM!M191="","",iferror(max(min(TTM!M191,0.5),-0.5),""))</f>
        <v/>
      </c>
      <c r="N191" s="14" t="str">
        <f>if(TTM!N191="","",iferror(max(min(TTM!N191,0.5),-0.5),""))</f>
        <v/>
      </c>
      <c r="O191" s="14">
        <f>if(TTM!O191="","",iferror(max(min(TTM!O191,0.5),-0.5),""))</f>
        <v>0.2449142216</v>
      </c>
      <c r="P191" s="14" t="str">
        <f>if(TTM!P191="","",iferror(max(min(TTM!P191,0.5),-0.5),""))</f>
        <v/>
      </c>
      <c r="Q191" s="14" t="str">
        <f>if(TTM!Q191="","",iferror(max(min(TTM!Q191,0.5),-0.5),""))</f>
        <v/>
      </c>
      <c r="R191" s="14"/>
      <c r="S191" s="14">
        <f>if(TTM!S191="","",iferror(max(min(TTM!S191,0.5),-0.5),""))</f>
        <v>0.007747500007</v>
      </c>
      <c r="T191" s="14" t="str">
        <f>if(TTM!T191="","",iferror(max(min(TTM!T191,0.5),-0.5),""))</f>
        <v/>
      </c>
      <c r="U191" s="14" t="str">
        <f>if(TTM!U191="","",iferror(max(min(TTM!U191,0.5),-0.5),""))</f>
        <v/>
      </c>
      <c r="V191" s="14">
        <f>if(TTM!V191="","",iferror(max(min(TTM!V191,0.5),-0.5),""))</f>
        <v>0.04781187266</v>
      </c>
      <c r="W191" s="14" t="str">
        <f>if(TTM!W191="","",iferror(max(min(TTM!W191,0.5),-0.5),""))</f>
        <v/>
      </c>
      <c r="X191" s="14">
        <f>if(TTM!X191="","",iferror(max(min(TTM!X191,0.5),-0.5),""))</f>
        <v>0.2152294515</v>
      </c>
      <c r="Y191" s="14">
        <f>if(TTM!Y191="","",iferror(max(min(TTM!Y191,0.5),-0.5),""))</f>
        <v>0.1105801441</v>
      </c>
      <c r="Z191" s="14">
        <f>if(TTM!Z191="","",iferror(max(min(TTM!Z191,0.5),-0.5),""))</f>
        <v>0.3280318091</v>
      </c>
      <c r="AA191" s="14">
        <f>if(TTM!AA191="","",iferror(max(min(TTM!AA191,0.5),-0.5),""))</f>
        <v>0.03188774484</v>
      </c>
      <c r="AB191" s="14" t="str">
        <f>if(TTM!AB191="","",iferror(max(min(TTM!AB191,0.5),-0.5),""))</f>
        <v/>
      </c>
      <c r="AC191" s="14" t="str">
        <f>if(TTM!AC191="","",iferror(max(min(TTM!AC191,0.5),-0.5),""))</f>
        <v/>
      </c>
      <c r="AD191" s="12"/>
    </row>
    <row r="192">
      <c r="A192" s="15" t="s">
        <v>105</v>
      </c>
      <c r="B192" s="14">
        <f>if(TTM!B192="","",iferror(max(min(TTM!B192,0.5),-0.5),""))</f>
        <v>-0.13459356</v>
      </c>
      <c r="C192" s="14">
        <f>if(TTM!C192="","",iferror(max(min(TTM!C192,0.5),-0.5),""))</f>
        <v>0.3828497373</v>
      </c>
      <c r="D192" s="14">
        <f>if(TTM!D192="","",iferror(max(min(TTM!D192,0.5),-0.5),""))</f>
        <v>0.1370131245</v>
      </c>
      <c r="E192" s="14">
        <f>if(TTM!E192="","",iferror(max(min(TTM!E192,0.5),-0.5),""))</f>
        <v>0.06398295392</v>
      </c>
      <c r="F192" s="14">
        <f>if(TTM!F192="","",iferror(max(min(TTM!F192,0.5),-0.5),""))</f>
        <v>0.2178284182</v>
      </c>
      <c r="G192" s="14">
        <f>if(TTM!G192="","",iferror(max(min(TTM!G192,0.5),-0.5),""))</f>
        <v>-0.03048513559</v>
      </c>
      <c r="H192" s="14">
        <f>if(TTM!H192="","",iferror(max(min(TTM!H192,0.5),-0.5),""))</f>
        <v>0.2980515863</v>
      </c>
      <c r="I192" s="14">
        <f>if(TTM!I192="","",iferror(max(min(TTM!I192,0.5),-0.5),""))</f>
        <v>-0.09468095449</v>
      </c>
      <c r="J192" s="14">
        <f>if(TTM!J192="","",iferror(max(min(TTM!J192,0.5),-0.5),""))</f>
        <v>-0.1289388775</v>
      </c>
      <c r="K192" s="14" t="str">
        <f>if(TTM!K192="","",iferror(max(min(TTM!K192,0.5),-0.5),""))</f>
        <v/>
      </c>
      <c r="L192" s="14" t="str">
        <f>if(TTM!L192="","",iferror(max(min(TTM!L192,0.5),-0.5),""))</f>
        <v/>
      </c>
      <c r="M192" s="14" t="str">
        <f>if(TTM!M192="","",iferror(max(min(TTM!M192,0.5),-0.5),""))</f>
        <v/>
      </c>
      <c r="N192" s="14" t="str">
        <f>if(TTM!N192="","",iferror(max(min(TTM!N192,0.5),-0.5),""))</f>
        <v/>
      </c>
      <c r="O192" s="14">
        <f>if(TTM!O192="","",iferror(max(min(TTM!O192,0.5),-0.5),""))</f>
        <v>0.2425879457</v>
      </c>
      <c r="P192" s="14" t="str">
        <f>if(TTM!P192="","",iferror(max(min(TTM!P192,0.5),-0.5),""))</f>
        <v/>
      </c>
      <c r="Q192" s="14" t="str">
        <f>if(TTM!Q192="","",iferror(max(min(TTM!Q192,0.5),-0.5),""))</f>
        <v/>
      </c>
      <c r="R192" s="14"/>
      <c r="S192" s="14">
        <f>if(TTM!S192="","",iferror(max(min(TTM!S192,0.5),-0.5),""))</f>
        <v>-0.04376519753</v>
      </c>
      <c r="T192" s="14" t="str">
        <f>if(TTM!T192="","",iferror(max(min(TTM!T192,0.5),-0.5),""))</f>
        <v/>
      </c>
      <c r="U192" s="14" t="str">
        <f>if(TTM!U192="","",iferror(max(min(TTM!U192,0.5),-0.5),""))</f>
        <v/>
      </c>
      <c r="V192" s="14" t="str">
        <f>if(TTM!V192="","",iferror(max(min(TTM!V192,0.5),-0.5),""))</f>
        <v/>
      </c>
      <c r="W192" s="14" t="str">
        <f>if(TTM!W192="","",iferror(max(min(TTM!W192,0.5),-0.5),""))</f>
        <v/>
      </c>
      <c r="X192" s="14">
        <f>if(TTM!X192="","",iferror(max(min(TTM!X192,0.5),-0.5),""))</f>
        <v>0.1971794464</v>
      </c>
      <c r="Y192" s="14">
        <f>if(TTM!Y192="","",iferror(max(min(TTM!Y192,0.5),-0.5),""))</f>
        <v>0.100001819</v>
      </c>
      <c r="Z192" s="14">
        <f>if(TTM!Z192="","",iferror(max(min(TTM!Z192,0.5),-0.5),""))</f>
        <v>0.3280318091</v>
      </c>
      <c r="AA192" s="14">
        <f>if(TTM!AA192="","",iferror(max(min(TTM!AA192,0.5),-0.5),""))</f>
        <v>0.02328927979</v>
      </c>
      <c r="AB192" s="14" t="str">
        <f>if(TTM!AB192="","",iferror(max(min(TTM!AB192,0.5),-0.5),""))</f>
        <v/>
      </c>
      <c r="AC192" s="14" t="str">
        <f>if(TTM!AC192="","",iferror(max(min(TTM!AC192,0.5),-0.5),""))</f>
        <v/>
      </c>
      <c r="AD192" s="12"/>
    </row>
    <row r="193">
      <c r="A193" s="15" t="s">
        <v>106</v>
      </c>
      <c r="B193" s="14">
        <f>if(TTM!B193="","",iferror(max(min(TTM!B193,0.5),-0.5),""))</f>
        <v>-0.1210277576</v>
      </c>
      <c r="C193" s="14">
        <f>if(TTM!C193="","",iferror(max(min(TTM!C193,0.5),-0.5),""))</f>
        <v>0.340732857</v>
      </c>
      <c r="D193" s="14">
        <f>if(TTM!D193="","",iferror(max(min(TTM!D193,0.5),-0.5),""))</f>
        <v>0.0803071123</v>
      </c>
      <c r="E193" s="14">
        <f>if(TTM!E193="","",iferror(max(min(TTM!E193,0.5),-0.5),""))</f>
        <v>-0.03595706608</v>
      </c>
      <c r="F193" s="14">
        <f>if(TTM!F193="","",iferror(max(min(TTM!F193,0.5),-0.5),""))</f>
        <v>0.19035995</v>
      </c>
      <c r="G193" s="14">
        <f>if(TTM!G193="","",iferror(max(min(TTM!G193,0.5),-0.5),""))</f>
        <v>-0.02242941003</v>
      </c>
      <c r="H193" s="14">
        <f>if(TTM!H193="","",iferror(max(min(TTM!H193,0.5),-0.5),""))</f>
        <v>0.1861945789</v>
      </c>
      <c r="I193" s="14">
        <f>if(TTM!I193="","",iferror(max(min(TTM!I193,0.5),-0.5),""))</f>
        <v>-0.0659817685</v>
      </c>
      <c r="J193" s="14">
        <f>if(TTM!J193="","",iferror(max(min(TTM!J193,0.5),-0.5),""))</f>
        <v>-0.2651357131</v>
      </c>
      <c r="K193" s="14" t="str">
        <f>if(TTM!K193="","",iferror(max(min(TTM!K193,0.5),-0.5),""))</f>
        <v/>
      </c>
      <c r="L193" s="14">
        <f>if(TTM!L193="","",iferror(max(min(TTM!L193,0.5),-0.5),""))</f>
        <v>0.3829773081</v>
      </c>
      <c r="M193" s="14" t="str">
        <f>if(TTM!M193="","",iferror(max(min(TTM!M193,0.5),-0.5),""))</f>
        <v/>
      </c>
      <c r="N193" s="14">
        <f>if(TTM!N193="","",iferror(max(min(TTM!N193,0.5),-0.5),""))</f>
        <v>-0.5</v>
      </c>
      <c r="O193" s="14">
        <f>if(TTM!O193="","",iferror(max(min(TTM!O193,0.5),-0.5),""))</f>
        <v>0.2402616698</v>
      </c>
      <c r="P193" s="14" t="str">
        <f>if(TTM!P193="","",iferror(max(min(TTM!P193,0.5),-0.5),""))</f>
        <v/>
      </c>
      <c r="Q193" s="14" t="str">
        <f>if(TTM!Q193="","",iferror(max(min(TTM!Q193,0.5),-0.5),""))</f>
        <v/>
      </c>
      <c r="R193" s="14"/>
      <c r="S193" s="14">
        <f>if(TTM!S193="","",iferror(max(min(TTM!S193,0.5),-0.5),""))</f>
        <v>-0.01033240432</v>
      </c>
      <c r="T193" s="14" t="str">
        <f>if(TTM!T193="","",iferror(max(min(TTM!T193,0.5),-0.5),""))</f>
        <v/>
      </c>
      <c r="U193" s="14" t="str">
        <f>if(TTM!U193="","",iferror(max(min(TTM!U193,0.5),-0.5),""))</f>
        <v/>
      </c>
      <c r="V193" s="14" t="str">
        <f>if(TTM!V193="","",iferror(max(min(TTM!V193,0.5),-0.5),""))</f>
        <v/>
      </c>
      <c r="W193" s="14" t="str">
        <f>if(TTM!W193="","",iferror(max(min(TTM!W193,0.5),-0.5),""))</f>
        <v/>
      </c>
      <c r="X193" s="14">
        <f>if(TTM!X193="","",iferror(max(min(TTM!X193,0.5),-0.5),""))</f>
        <v>0.1791294414</v>
      </c>
      <c r="Y193" s="14">
        <f>if(TTM!Y193="","",iferror(max(min(TTM!Y193,0.5),-0.5),""))</f>
        <v>0.1017944653</v>
      </c>
      <c r="Z193" s="14">
        <f>if(TTM!Z193="","",iferror(max(min(TTM!Z193,0.5),-0.5),""))</f>
        <v>0.3317853569</v>
      </c>
      <c r="AA193" s="14">
        <f>if(TTM!AA193="","",iferror(max(min(TTM!AA193,0.5),-0.5),""))</f>
        <v>0.02221984623</v>
      </c>
      <c r="AB193" s="14" t="str">
        <f>if(TTM!AB193="","",iferror(max(min(TTM!AB193,0.5),-0.5),""))</f>
        <v/>
      </c>
      <c r="AC193" s="14">
        <f>if(TTM!AC193="","",iferror(max(min(TTM!AC193,0.5),-0.5),""))</f>
        <v>-0.5</v>
      </c>
      <c r="AD193" s="12"/>
    </row>
    <row r="194">
      <c r="A194" s="15" t="s">
        <v>107</v>
      </c>
      <c r="B194" s="14">
        <f>if(TTM!B194="","",iferror(max(min(TTM!B194,0.5),-0.5),""))</f>
        <v>-0.1074619552</v>
      </c>
      <c r="C194" s="14">
        <f>if(TTM!C194="","",iferror(max(min(TTM!C194,0.5),-0.5),""))</f>
        <v>0.3127579031</v>
      </c>
      <c r="D194" s="14">
        <f>if(TTM!D194="","",iferror(max(min(TTM!D194,0.5),-0.5),""))</f>
        <v>0.0446655115</v>
      </c>
      <c r="E194" s="14">
        <f>if(TTM!E194="","",iferror(max(min(TTM!E194,0.5),-0.5),""))</f>
        <v>-0.07607561158</v>
      </c>
      <c r="F194" s="14">
        <f>if(TTM!F194="","",iferror(max(min(TTM!F194,0.5),-0.5),""))</f>
        <v>0.164675224</v>
      </c>
      <c r="G194" s="14">
        <f>if(TTM!G194="","",iferror(max(min(TTM!G194,0.5),-0.5),""))</f>
        <v>-0.08464052837</v>
      </c>
      <c r="H194" s="14">
        <f>if(TTM!H194="","",iferror(max(min(TTM!H194,0.5),-0.5),""))</f>
        <v>0.1910536064</v>
      </c>
      <c r="I194" s="14">
        <f>if(TTM!I194="","",iferror(max(min(TTM!I194,0.5),-0.5),""))</f>
        <v>-0.03635950968</v>
      </c>
      <c r="J194" s="14">
        <f>if(TTM!J194="","",iferror(max(min(TTM!J194,0.5),-0.5),""))</f>
        <v>-0.2534995663</v>
      </c>
      <c r="K194" s="14" t="str">
        <f>if(TTM!K194="","",iferror(max(min(TTM!K194,0.5),-0.5),""))</f>
        <v/>
      </c>
      <c r="L194" s="14">
        <f>if(TTM!L194="","",iferror(max(min(TTM!L194,0.5),-0.5),""))</f>
        <v>0.4409123902</v>
      </c>
      <c r="M194" s="14" t="str">
        <f>if(TTM!M194="","",iferror(max(min(TTM!M194,0.5),-0.5),""))</f>
        <v/>
      </c>
      <c r="N194" s="14">
        <f>if(TTM!N194="","",iferror(max(min(TTM!N194,0.5),-0.5),""))</f>
        <v>-0.5</v>
      </c>
      <c r="O194" s="14">
        <f>if(TTM!O194="","",iferror(max(min(TTM!O194,0.5),-0.5),""))</f>
        <v>0.2379353939</v>
      </c>
      <c r="P194" s="14" t="str">
        <f>if(TTM!P194="","",iferror(max(min(TTM!P194,0.5),-0.5),""))</f>
        <v/>
      </c>
      <c r="Q194" s="14" t="str">
        <f>if(TTM!Q194="","",iferror(max(min(TTM!Q194,0.5),-0.5),""))</f>
        <v/>
      </c>
      <c r="R194" s="14"/>
      <c r="S194" s="14">
        <f>if(TTM!S194="","",iferror(max(min(TTM!S194,0.5),-0.5),""))</f>
        <v>0.02310038888</v>
      </c>
      <c r="T194" s="14" t="str">
        <f>if(TTM!T194="","",iferror(max(min(TTM!T194,0.5),-0.5),""))</f>
        <v/>
      </c>
      <c r="U194" s="14" t="str">
        <f>if(TTM!U194="","",iferror(max(min(TTM!U194,0.5),-0.5),""))</f>
        <v/>
      </c>
      <c r="V194" s="14" t="str">
        <f>if(TTM!V194="","",iferror(max(min(TTM!V194,0.5),-0.5),""))</f>
        <v/>
      </c>
      <c r="W194" s="14" t="str">
        <f>if(TTM!W194="","",iferror(max(min(TTM!W194,0.5),-0.5),""))</f>
        <v/>
      </c>
      <c r="X194" s="14">
        <f>if(TTM!X194="","",iferror(max(min(TTM!X194,0.5),-0.5),""))</f>
        <v>0.1610794364</v>
      </c>
      <c r="Y194" s="14">
        <f>if(TTM!Y194="","",iferror(max(min(TTM!Y194,0.5),-0.5),""))</f>
        <v>0.1035871116</v>
      </c>
      <c r="Z194" s="14">
        <f>if(TTM!Z194="","",iferror(max(min(TTM!Z194,0.5),-0.5),""))</f>
        <v>0.3355389047</v>
      </c>
      <c r="AA194" s="14">
        <f>if(TTM!AA194="","",iferror(max(min(TTM!AA194,0.5),-0.5),""))</f>
        <v>0.02115041267</v>
      </c>
      <c r="AB194" s="14" t="str">
        <f>if(TTM!AB194="","",iferror(max(min(TTM!AB194,0.5),-0.5),""))</f>
        <v/>
      </c>
      <c r="AC194" s="14">
        <f>if(TTM!AC194="","",iferror(max(min(TTM!AC194,0.5),-0.5),""))</f>
        <v>-0.5</v>
      </c>
      <c r="AD194" s="12"/>
    </row>
    <row r="195">
      <c r="A195" s="15" t="s">
        <v>108</v>
      </c>
      <c r="B195" s="14">
        <f>if(TTM!B195="","",iferror(max(min(TTM!B195,0.5),-0.5),""))</f>
        <v>-0.09389615272</v>
      </c>
      <c r="C195" s="14">
        <f>if(TTM!C195="","",iferror(max(min(TTM!C195,0.5),-0.5),""))</f>
        <v>0.2710642984</v>
      </c>
      <c r="D195" s="14">
        <f>if(TTM!D195="","",iferror(max(min(TTM!D195,0.5),-0.5),""))</f>
        <v>0.04330209864</v>
      </c>
      <c r="E195" s="14">
        <f>if(TTM!E195="","",iferror(max(min(TTM!E195,0.5),-0.5),""))</f>
        <v>-0.07765958536</v>
      </c>
      <c r="F195" s="14">
        <f>if(TTM!F195="","",iferror(max(min(TTM!F195,0.5),-0.5),""))</f>
        <v>0.1476290458</v>
      </c>
      <c r="G195" s="14">
        <f>if(TTM!G195="","",iferror(max(min(TTM!G195,0.5),-0.5),""))</f>
        <v>-0.07731883962</v>
      </c>
      <c r="H195" s="14">
        <f>if(TTM!H195="","",iferror(max(min(TTM!H195,0.5),-0.5),""))</f>
        <v>0.195912634</v>
      </c>
      <c r="I195" s="14">
        <f>if(TTM!I195="","",iferror(max(min(TTM!I195,0.5),-0.5),""))</f>
        <v>0.03075412517</v>
      </c>
      <c r="J195" s="14">
        <f>if(TTM!J195="","",iferror(max(min(TTM!J195,0.5),-0.5),""))</f>
        <v>-0.3309926638</v>
      </c>
      <c r="K195" s="14" t="str">
        <f>if(TTM!K195="","",iferror(max(min(TTM!K195,0.5),-0.5),""))</f>
        <v/>
      </c>
      <c r="L195" s="14">
        <f>if(TTM!L195="","",iferror(max(min(TTM!L195,0.5),-0.5),""))</f>
        <v>0.4189881859</v>
      </c>
      <c r="M195" s="14" t="str">
        <f>if(TTM!M195="","",iferror(max(min(TTM!M195,0.5),-0.5),""))</f>
        <v/>
      </c>
      <c r="N195" s="14">
        <f>if(TTM!N195="","",iferror(max(min(TTM!N195,0.5),-0.5),""))</f>
        <v>-0.5</v>
      </c>
      <c r="O195" s="14">
        <f>if(TTM!O195="","",iferror(max(min(TTM!O195,0.5),-0.5),""))</f>
        <v>0.2302029024</v>
      </c>
      <c r="P195" s="14" t="str">
        <f>if(TTM!P195="","",iferror(max(min(TTM!P195,0.5),-0.5),""))</f>
        <v/>
      </c>
      <c r="Q195" s="14" t="str">
        <f>if(TTM!Q195="","",iferror(max(min(TTM!Q195,0.5),-0.5),""))</f>
        <v/>
      </c>
      <c r="R195" s="14"/>
      <c r="S195" s="14">
        <f>if(TTM!S195="","",iferror(max(min(TTM!S195,0.5),-0.5),""))</f>
        <v>0.05653318209</v>
      </c>
      <c r="T195" s="14" t="str">
        <f>if(TTM!T195="","",iferror(max(min(TTM!T195,0.5),-0.5),""))</f>
        <v/>
      </c>
      <c r="U195" s="14" t="str">
        <f>if(TTM!U195="","",iferror(max(min(TTM!U195,0.5),-0.5),""))</f>
        <v/>
      </c>
      <c r="V195" s="14" t="str">
        <f>if(TTM!V195="","",iferror(max(min(TTM!V195,0.5),-0.5),""))</f>
        <v/>
      </c>
      <c r="W195" s="14" t="str">
        <f>if(TTM!W195="","",iferror(max(min(TTM!W195,0.5),-0.5),""))</f>
        <v/>
      </c>
      <c r="X195" s="14">
        <f>if(TTM!X195="","",iferror(max(min(TTM!X195,0.5),-0.5),""))</f>
        <v>0.1596274556</v>
      </c>
      <c r="Y195" s="14">
        <f>if(TTM!Y195="","",iferror(max(min(TTM!Y195,0.5),-0.5),""))</f>
        <v>0.1053797579</v>
      </c>
      <c r="Z195" s="14">
        <f>if(TTM!Z195="","",iferror(max(min(TTM!Z195,0.5),-0.5),""))</f>
        <v>0.3392924525</v>
      </c>
      <c r="AA195" s="14">
        <f>if(TTM!AA195="","",iferror(max(min(TTM!AA195,0.5),-0.5),""))</f>
        <v>0.02008097911</v>
      </c>
      <c r="AB195" s="14" t="str">
        <f>if(TTM!AB195="","",iferror(max(min(TTM!AB195,0.5),-0.5),""))</f>
        <v/>
      </c>
      <c r="AC195" s="14">
        <f>if(TTM!AC195="","",iferror(max(min(TTM!AC195,0.5),-0.5),""))</f>
        <v>-0.5</v>
      </c>
      <c r="AD195" s="12"/>
    </row>
    <row r="196">
      <c r="A196" s="15" t="s">
        <v>109</v>
      </c>
      <c r="B196" s="14">
        <f>if(TTM!B196="","",iferror(max(min(TTM!B196,0.5),-0.5),""))</f>
        <v>-0.08033035028</v>
      </c>
      <c r="C196" s="14">
        <f>if(TTM!C196="","",iferror(max(min(TTM!C196,0.5),-0.5),""))</f>
        <v>0.2565912167</v>
      </c>
      <c r="D196" s="14">
        <f>if(TTM!D196="","",iferror(max(min(TTM!D196,0.5),-0.5),""))</f>
        <v>0.02278508124</v>
      </c>
      <c r="E196" s="14">
        <f>if(TTM!E196="","",iferror(max(min(TTM!E196,0.5),-0.5),""))</f>
        <v>-0.1020333399</v>
      </c>
      <c r="F196" s="14">
        <f>if(TTM!F196="","",iferror(max(min(TTM!F196,0.5),-0.5),""))</f>
        <v>0.09633649821</v>
      </c>
      <c r="G196" s="14">
        <f>if(TTM!G196="","",iferror(max(min(TTM!G196,0.5),-0.5),""))</f>
        <v>-0.06200524803</v>
      </c>
      <c r="H196" s="14">
        <f>if(TTM!H196="","",iferror(max(min(TTM!H196,0.5),-0.5),""))</f>
        <v>0.2007716615</v>
      </c>
      <c r="I196" s="14">
        <f>if(TTM!I196="","",iferror(max(min(TTM!I196,0.5),-0.5),""))</f>
        <v>0.06703697641</v>
      </c>
      <c r="J196" s="14">
        <f>if(TTM!J196="","",iferror(max(min(TTM!J196,0.5),-0.5),""))</f>
        <v>-0.2560549649</v>
      </c>
      <c r="K196" s="14" t="str">
        <f>if(TTM!K196="","",iferror(max(min(TTM!K196,0.5),-0.5),""))</f>
        <v/>
      </c>
      <c r="L196" s="14">
        <f>if(TTM!L196="","",iferror(max(min(TTM!L196,0.5),-0.5),""))</f>
        <v>0.3893270812</v>
      </c>
      <c r="M196" s="14" t="str">
        <f>if(TTM!M196="","",iferror(max(min(TTM!M196,0.5),-0.5),""))</f>
        <v/>
      </c>
      <c r="N196" s="14">
        <f>if(TTM!N196="","",iferror(max(min(TTM!N196,0.5),-0.5),""))</f>
        <v>-0.5</v>
      </c>
      <c r="O196" s="14">
        <f>if(TTM!O196="","",iferror(max(min(TTM!O196,0.5),-0.5),""))</f>
        <v>0.2224704109</v>
      </c>
      <c r="P196" s="14" t="str">
        <f>if(TTM!P196="","",iferror(max(min(TTM!P196,0.5),-0.5),""))</f>
        <v/>
      </c>
      <c r="Q196" s="14" t="str">
        <f>if(TTM!Q196="","",iferror(max(min(TTM!Q196,0.5),-0.5),""))</f>
        <v/>
      </c>
      <c r="R196" s="14"/>
      <c r="S196" s="14">
        <f>if(TTM!S196="","",iferror(max(min(TTM!S196,0.5),-0.5),""))</f>
        <v>0.08996597529</v>
      </c>
      <c r="T196" s="14" t="str">
        <f>if(TTM!T196="","",iferror(max(min(TTM!T196,0.5),-0.5),""))</f>
        <v/>
      </c>
      <c r="U196" s="14" t="str">
        <f>if(TTM!U196="","",iferror(max(min(TTM!U196,0.5),-0.5),""))</f>
        <v/>
      </c>
      <c r="V196" s="14" t="str">
        <f>if(TTM!V196="","",iferror(max(min(TTM!V196,0.5),-0.5),""))</f>
        <v/>
      </c>
      <c r="W196" s="14" t="str">
        <f>if(TTM!W196="","",iferror(max(min(TTM!W196,0.5),-0.5),""))</f>
        <v/>
      </c>
      <c r="X196" s="14">
        <f>if(TTM!X196="","",iferror(max(min(TTM!X196,0.5),-0.5),""))</f>
        <v>0.1581754749</v>
      </c>
      <c r="Y196" s="14">
        <f>if(TTM!Y196="","",iferror(max(min(TTM!Y196,0.5),-0.5),""))</f>
        <v>0.1071724042</v>
      </c>
      <c r="Z196" s="14">
        <f>if(TTM!Z196="","",iferror(max(min(TTM!Z196,0.5),-0.5),""))</f>
        <v>0.3430460003</v>
      </c>
      <c r="AA196" s="14">
        <f>if(TTM!AA196="","",iferror(max(min(TTM!AA196,0.5),-0.5),""))</f>
        <v>0.01901154555</v>
      </c>
      <c r="AB196" s="14" t="str">
        <f>if(TTM!AB196="","",iferror(max(min(TTM!AB196,0.5),-0.5),""))</f>
        <v/>
      </c>
      <c r="AC196" s="14">
        <f>if(TTM!AC196="","",iferror(max(min(TTM!AC196,0.5),-0.5),""))</f>
        <v>-0.5</v>
      </c>
      <c r="AD196" s="12"/>
    </row>
    <row r="197">
      <c r="A197" s="15" t="s">
        <v>110</v>
      </c>
      <c r="B197" s="14">
        <f>if(TTM!B197="","",iferror(max(min(TTM!B197,0.5),-0.5),""))</f>
        <v>-0.06044489581</v>
      </c>
      <c r="C197" s="14">
        <f>if(TTM!C197="","",iferror(max(min(TTM!C197,0.5),-0.5),""))</f>
        <v>0.2575142548</v>
      </c>
      <c r="D197" s="14">
        <f>if(TTM!D197="","",iferror(max(min(TTM!D197,0.5),-0.5),""))</f>
        <v>0.03027664285</v>
      </c>
      <c r="E197" s="14">
        <f>if(TTM!E197="","",iferror(max(min(TTM!E197,0.5),-0.5),""))</f>
        <v>-0.01023271721</v>
      </c>
      <c r="F197" s="14">
        <f>if(TTM!F197="","",iferror(max(min(TTM!F197,0.5),-0.5),""))</f>
        <v>0.08614893711</v>
      </c>
      <c r="G197" s="14">
        <f>if(TTM!G197="","",iferror(max(min(TTM!G197,0.5),-0.5),""))</f>
        <v>-0.05089450279</v>
      </c>
      <c r="H197" s="14">
        <f>if(TTM!H197="","",iferror(max(min(TTM!H197,0.5),-0.5),""))</f>
        <v>0.2056306891</v>
      </c>
      <c r="I197" s="14">
        <f>if(TTM!I197="","",iferror(max(min(TTM!I197,0.5),-0.5),""))</f>
        <v>0.09776831512</v>
      </c>
      <c r="J197" s="14">
        <f>if(TTM!J197="","",iferror(max(min(TTM!J197,0.5),-0.5),""))</f>
        <v>-0.2666805296</v>
      </c>
      <c r="K197" s="14" t="str">
        <f>if(TTM!K197="","",iferror(max(min(TTM!K197,0.5),-0.5),""))</f>
        <v/>
      </c>
      <c r="L197" s="14">
        <f>if(TTM!L197="","",iferror(max(min(TTM!L197,0.5),-0.5),""))</f>
        <v>0.3696630292</v>
      </c>
      <c r="M197" s="14" t="str">
        <f>if(TTM!M197="","",iferror(max(min(TTM!M197,0.5),-0.5),""))</f>
        <v/>
      </c>
      <c r="N197" s="14">
        <f>if(TTM!N197="","",iferror(max(min(TTM!N197,0.5),-0.5),""))</f>
        <v>-0.3885510269</v>
      </c>
      <c r="O197" s="14">
        <f>if(TTM!O197="","",iferror(max(min(TTM!O197,0.5),-0.5),""))</f>
        <v>0.2147379195</v>
      </c>
      <c r="P197" s="14" t="str">
        <f>if(TTM!P197="","",iferror(max(min(TTM!P197,0.5),-0.5),""))</f>
        <v/>
      </c>
      <c r="Q197" s="14" t="str">
        <f>if(TTM!Q197="","",iferror(max(min(TTM!Q197,0.5),-0.5),""))</f>
        <v/>
      </c>
      <c r="R197" s="14"/>
      <c r="S197" s="14">
        <f>if(TTM!S197="","",iferror(max(min(TTM!S197,0.5),-0.5),""))</f>
        <v>0.07568043157</v>
      </c>
      <c r="T197" s="14">
        <f>if(TTM!T197="","",iferror(max(min(TTM!T197,0.5),-0.5),""))</f>
        <v>0.1793505835</v>
      </c>
      <c r="U197" s="14" t="str">
        <f>if(TTM!U197="","",iferror(max(min(TTM!U197,0.5),-0.5),""))</f>
        <v/>
      </c>
      <c r="V197" s="14" t="str">
        <f>if(TTM!V197="","",iferror(max(min(TTM!V197,0.5),-0.5),""))</f>
        <v/>
      </c>
      <c r="W197" s="14" t="str">
        <f>if(TTM!W197="","",iferror(max(min(TTM!W197,0.5),-0.5),""))</f>
        <v/>
      </c>
      <c r="X197" s="14">
        <f>if(TTM!X197="","",iferror(max(min(TTM!X197,0.5),-0.5),""))</f>
        <v>0.1567234942</v>
      </c>
      <c r="Y197" s="14">
        <f>if(TTM!Y197="","",iferror(max(min(TTM!Y197,0.5),-0.5),""))</f>
        <v>0.1084706464</v>
      </c>
      <c r="Z197" s="14">
        <f>if(TTM!Z197="","",iferror(max(min(TTM!Z197,0.5),-0.5),""))</f>
        <v>0.3398759488</v>
      </c>
      <c r="AA197" s="14">
        <f>if(TTM!AA197="","",iferror(max(min(TTM!AA197,0.5),-0.5),""))</f>
        <v>0.01750362537</v>
      </c>
      <c r="AB197" s="14">
        <f>if(TTM!AB197="","",iferror(max(min(TTM!AB197,0.5),-0.5),""))</f>
        <v>-0.1160791948</v>
      </c>
      <c r="AC197" s="14">
        <f>if(TTM!AC197="","",iferror(max(min(TTM!AC197,0.5),-0.5),""))</f>
        <v>-0.5</v>
      </c>
      <c r="AD197" s="12"/>
    </row>
    <row r="198">
      <c r="A198" s="15" t="s">
        <v>111</v>
      </c>
      <c r="B198" s="14">
        <f>if(TTM!B198="","",iferror(max(min(TTM!B198,0.5),-0.5),""))</f>
        <v>-0.04055944134</v>
      </c>
      <c r="C198" s="14">
        <f>if(TTM!C198="","",iferror(max(min(TTM!C198,0.5),-0.5),""))</f>
        <v>0.2611192293</v>
      </c>
      <c r="D198" s="14">
        <f>if(TTM!D198="","",iferror(max(min(TTM!D198,0.5),-0.5),""))</f>
        <v>0.03717540336</v>
      </c>
      <c r="E198" s="14">
        <f>if(TTM!E198="","",iferror(max(min(TTM!E198,0.5),-0.5),""))</f>
        <v>0.04904224091</v>
      </c>
      <c r="F198" s="14">
        <f>if(TTM!F198="","",iferror(max(min(TTM!F198,0.5),-0.5),""))</f>
        <v>0.08331995482</v>
      </c>
      <c r="G198" s="14">
        <f>if(TTM!G198="","",iferror(max(min(TTM!G198,0.5),-0.5),""))</f>
        <v>0.01636864866</v>
      </c>
      <c r="H198" s="14">
        <f>if(TTM!H198="","",iferror(max(min(TTM!H198,0.5),-0.5),""))</f>
        <v>0.2019570436</v>
      </c>
      <c r="I198" s="14">
        <f>if(TTM!I198="","",iferror(max(min(TTM!I198,0.5),-0.5),""))</f>
        <v>0.1064289867</v>
      </c>
      <c r="J198" s="14">
        <f>if(TTM!J198="","",iferror(max(min(TTM!J198,0.5),-0.5),""))</f>
        <v>-0.3261911316</v>
      </c>
      <c r="K198" s="14" t="str">
        <f>if(TTM!K198="","",iferror(max(min(TTM!K198,0.5),-0.5),""))</f>
        <v/>
      </c>
      <c r="L198" s="14">
        <f>if(TTM!L198="","",iferror(max(min(TTM!L198,0.5),-0.5),""))</f>
        <v>0.3363214736</v>
      </c>
      <c r="M198" s="14" t="str">
        <f>if(TTM!M198="","",iferror(max(min(TTM!M198,0.5),-0.5),""))</f>
        <v/>
      </c>
      <c r="N198" s="14">
        <f>if(TTM!N198="","",iferror(max(min(TTM!N198,0.5),-0.5),""))</f>
        <v>-0.4191375751</v>
      </c>
      <c r="O198" s="14">
        <f>if(TTM!O198="","",iferror(max(min(TTM!O198,0.5),-0.5),""))</f>
        <v>0.207005428</v>
      </c>
      <c r="P198" s="14" t="str">
        <f>if(TTM!P198="","",iferror(max(min(TTM!P198,0.5),-0.5),""))</f>
        <v/>
      </c>
      <c r="Q198" s="14" t="str">
        <f>if(TTM!Q198="","",iferror(max(min(TTM!Q198,0.5),-0.5),""))</f>
        <v/>
      </c>
      <c r="R198" s="14"/>
      <c r="S198" s="14">
        <f>if(TTM!S198="","",iferror(max(min(TTM!S198,0.5),-0.5),""))</f>
        <v>0.06139488784</v>
      </c>
      <c r="T198" s="14">
        <f>if(TTM!T198="","",iferror(max(min(TTM!T198,0.5),-0.5),""))</f>
        <v>0.1499728606</v>
      </c>
      <c r="U198" s="14" t="str">
        <f>if(TTM!U198="","",iferror(max(min(TTM!U198,0.5),-0.5),""))</f>
        <v/>
      </c>
      <c r="V198" s="14" t="str">
        <f>if(TTM!V198="","",iferror(max(min(TTM!V198,0.5),-0.5),""))</f>
        <v/>
      </c>
      <c r="W198" s="14" t="str">
        <f>if(TTM!W198="","",iferror(max(min(TTM!W198,0.5),-0.5),""))</f>
        <v/>
      </c>
      <c r="X198" s="14">
        <f>if(TTM!X198="","",iferror(max(min(TTM!X198,0.5),-0.5),""))</f>
        <v>0.1552715134</v>
      </c>
      <c r="Y198" s="14">
        <f>if(TTM!Y198="","",iferror(max(min(TTM!Y198,0.5),-0.5),""))</f>
        <v>0.1097688886</v>
      </c>
      <c r="Z198" s="14">
        <f>if(TTM!Z198="","",iferror(max(min(TTM!Z198,0.5),-0.5),""))</f>
        <v>0.3367058974</v>
      </c>
      <c r="AA198" s="14">
        <f>if(TTM!AA198="","",iferror(max(min(TTM!AA198,0.5),-0.5),""))</f>
        <v>0.01599570519</v>
      </c>
      <c r="AB198" s="14">
        <f>if(TTM!AB198="","",iferror(max(min(TTM!AB198,0.5),-0.5),""))</f>
        <v>-0.1160791948</v>
      </c>
      <c r="AC198" s="14">
        <f>if(TTM!AC198="","",iferror(max(min(TTM!AC198,0.5),-0.5),""))</f>
        <v>-0.5</v>
      </c>
      <c r="AD198" s="12"/>
    </row>
    <row r="199">
      <c r="A199" s="15" t="s">
        <v>112</v>
      </c>
      <c r="B199" s="14">
        <f>if(TTM!B199="","",iferror(max(min(TTM!B199,0.5),-0.5),""))</f>
        <v>-0.02067398687</v>
      </c>
      <c r="C199" s="14">
        <f>if(TTM!C199="","",iferror(max(min(TTM!C199,0.5),-0.5),""))</f>
        <v>0.3236335234</v>
      </c>
      <c r="D199" s="14">
        <f>if(TTM!D199="","",iferror(max(min(TTM!D199,0.5),-0.5),""))</f>
        <v>0.03926530582</v>
      </c>
      <c r="E199" s="14">
        <f>if(TTM!E199="","",iferror(max(min(TTM!E199,0.5),-0.5),""))</f>
        <v>0.08312545948</v>
      </c>
      <c r="F199" s="14">
        <f>if(TTM!F199="","",iferror(max(min(TTM!F199,0.5),-0.5),""))</f>
        <v>0.06754911957</v>
      </c>
      <c r="G199" s="14">
        <f>if(TTM!G199="","",iferror(max(min(TTM!G199,0.5),-0.5),""))</f>
        <v>0.004502607732</v>
      </c>
      <c r="H199" s="14">
        <f>if(TTM!H199="","",iferror(max(min(TTM!H199,0.5),-0.5),""))</f>
        <v>0.2080184115</v>
      </c>
      <c r="I199" s="14">
        <f>if(TTM!I199="","",iferror(max(min(TTM!I199,0.5),-0.5),""))</f>
        <v>0.09226457849</v>
      </c>
      <c r="J199" s="14">
        <f>if(TTM!J199="","",iferror(max(min(TTM!J199,0.5),-0.5),""))</f>
        <v>-0.3093216605</v>
      </c>
      <c r="K199" s="14" t="str">
        <f>if(TTM!K199="","",iferror(max(min(TTM!K199,0.5),-0.5),""))</f>
        <v/>
      </c>
      <c r="L199" s="14">
        <f>if(TTM!L199="","",iferror(max(min(TTM!L199,0.5),-0.5),""))</f>
        <v>0.3135962661</v>
      </c>
      <c r="M199" s="14" t="str">
        <f>if(TTM!M199="","",iferror(max(min(TTM!M199,0.5),-0.5),""))</f>
        <v/>
      </c>
      <c r="N199" s="14">
        <f>if(TTM!N199="","",iferror(max(min(TTM!N199,0.5),-0.5),""))</f>
        <v>-0.3579992367</v>
      </c>
      <c r="O199" s="14">
        <f>if(TTM!O199="","",iferror(max(min(TTM!O199,0.5),-0.5),""))</f>
        <v>0.1842341506</v>
      </c>
      <c r="P199" s="14" t="str">
        <f>if(TTM!P199="","",iferror(max(min(TTM!P199,0.5),-0.5),""))</f>
        <v/>
      </c>
      <c r="Q199" s="14" t="str">
        <f>if(TTM!Q199="","",iferror(max(min(TTM!Q199,0.5),-0.5),""))</f>
        <v/>
      </c>
      <c r="R199" s="14"/>
      <c r="S199" s="14">
        <f>if(TTM!S199="","",iferror(max(min(TTM!S199,0.5),-0.5),""))</f>
        <v>0.04710934412</v>
      </c>
      <c r="T199" s="14">
        <f>if(TTM!T199="","",iferror(max(min(TTM!T199,0.5),-0.5),""))</f>
        <v>0.1205951378</v>
      </c>
      <c r="U199" s="14" t="str">
        <f>if(TTM!U199="","",iferror(max(min(TTM!U199,0.5),-0.5),""))</f>
        <v/>
      </c>
      <c r="V199" s="14" t="str">
        <f>if(TTM!V199="","",iferror(max(min(TTM!V199,0.5),-0.5),""))</f>
        <v/>
      </c>
      <c r="W199" s="14" t="str">
        <f>if(TTM!W199="","",iferror(max(min(TTM!W199,0.5),-0.5),""))</f>
        <v/>
      </c>
      <c r="X199" s="14">
        <f>if(TTM!X199="","",iferror(max(min(TTM!X199,0.5),-0.5),""))</f>
        <v>0.1526128546</v>
      </c>
      <c r="Y199" s="14">
        <f>if(TTM!Y199="","",iferror(max(min(TTM!Y199,0.5),-0.5),""))</f>
        <v>0.1110671308</v>
      </c>
      <c r="Z199" s="14">
        <f>if(TTM!Z199="","",iferror(max(min(TTM!Z199,0.5),-0.5),""))</f>
        <v>0.333535846</v>
      </c>
      <c r="AA199" s="14">
        <f>if(TTM!AA199="","",iferror(max(min(TTM!AA199,0.5),-0.5),""))</f>
        <v>0.01448778501</v>
      </c>
      <c r="AB199" s="14">
        <f>if(TTM!AB199="","",iferror(max(min(TTM!AB199,0.5),-0.5),""))</f>
        <v>-0.1160791948</v>
      </c>
      <c r="AC199" s="14">
        <f>if(TTM!AC199="","",iferror(max(min(TTM!AC199,0.5),-0.5),""))</f>
        <v>-0.5</v>
      </c>
      <c r="AD199" s="12"/>
    </row>
    <row r="200">
      <c r="A200" s="15" t="s">
        <v>113</v>
      </c>
      <c r="B200" s="14">
        <f>if(TTM!B200="","",iferror(max(min(TTM!B200,0.5),-0.5),""))</f>
        <v>-0.0007885323968</v>
      </c>
      <c r="C200" s="14">
        <f>if(TTM!C200="","",iferror(max(min(TTM!C200,0.5),-0.5),""))</f>
        <v>0.3264112953</v>
      </c>
      <c r="D200" s="14">
        <f>if(TTM!D200="","",iferror(max(min(TTM!D200,0.5),-0.5),""))</f>
        <v>0.0337222288</v>
      </c>
      <c r="E200" s="14">
        <f>if(TTM!E200="","",iferror(max(min(TTM!E200,0.5),-0.5),""))</f>
        <v>0.1249042853</v>
      </c>
      <c r="F200" s="14">
        <f>if(TTM!F200="","",iferror(max(min(TTM!F200,0.5),-0.5),""))</f>
        <v>0.06672101121</v>
      </c>
      <c r="G200" s="14">
        <f>if(TTM!G200="","",iferror(max(min(TTM!G200,0.5),-0.5),""))</f>
        <v>-0.02122812612</v>
      </c>
      <c r="H200" s="14">
        <f>if(TTM!H200="","",iferror(max(min(TTM!H200,0.5),-0.5),""))</f>
        <v>0.2176291765</v>
      </c>
      <c r="I200" s="14">
        <f>if(TTM!I200="","",iferror(max(min(TTM!I200,0.5),-0.5),""))</f>
        <v>0.1037299877</v>
      </c>
      <c r="J200" s="14">
        <f>if(TTM!J200="","",iferror(max(min(TTM!J200,0.5),-0.5),""))</f>
        <v>-0.4089300166</v>
      </c>
      <c r="K200" s="14" t="str">
        <f>if(TTM!K200="","",iferror(max(min(TTM!K200,0.5),-0.5),""))</f>
        <v/>
      </c>
      <c r="L200" s="14">
        <f>if(TTM!L200="","",iferror(max(min(TTM!L200,0.5),-0.5),""))</f>
        <v>0.2513045574</v>
      </c>
      <c r="M200" s="14" t="str">
        <f>if(TTM!M200="","",iferror(max(min(TTM!M200,0.5),-0.5),""))</f>
        <v/>
      </c>
      <c r="N200" s="14">
        <f>if(TTM!N200="","",iferror(max(min(TTM!N200,0.5),-0.5),""))</f>
        <v>-0.4359485822</v>
      </c>
      <c r="O200" s="14">
        <f>if(TTM!O200="","",iferror(max(min(TTM!O200,0.5),-0.5),""))</f>
        <v>0.1614628732</v>
      </c>
      <c r="P200" s="14" t="str">
        <f>if(TTM!P200="","",iferror(max(min(TTM!P200,0.5),-0.5),""))</f>
        <v/>
      </c>
      <c r="Q200" s="14" t="str">
        <f>if(TTM!Q200="","",iferror(max(min(TTM!Q200,0.5),-0.5),""))</f>
        <v/>
      </c>
      <c r="R200" s="14"/>
      <c r="S200" s="14">
        <f>if(TTM!S200="","",iferror(max(min(TTM!S200,0.5),-0.5),""))</f>
        <v>0.0328238004</v>
      </c>
      <c r="T200" s="14">
        <f>if(TTM!T200="","",iferror(max(min(TTM!T200,0.5),-0.5),""))</f>
        <v>0.09121741493</v>
      </c>
      <c r="U200" s="14" t="str">
        <f>if(TTM!U200="","",iferror(max(min(TTM!U200,0.5),-0.5),""))</f>
        <v/>
      </c>
      <c r="V200" s="14" t="str">
        <f>if(TTM!V200="","",iferror(max(min(TTM!V200,0.5),-0.5),""))</f>
        <v/>
      </c>
      <c r="W200" s="14" t="str">
        <f>if(TTM!W200="","",iferror(max(min(TTM!W200,0.5),-0.5),""))</f>
        <v/>
      </c>
      <c r="X200" s="14">
        <f>if(TTM!X200="","",iferror(max(min(TTM!X200,0.5),-0.5),""))</f>
        <v>0.1499541958</v>
      </c>
      <c r="Y200" s="14">
        <f>if(TTM!Y200="","",iferror(max(min(TTM!Y200,0.5),-0.5),""))</f>
        <v>0.112365373</v>
      </c>
      <c r="Z200" s="14">
        <f>if(TTM!Z200="","",iferror(max(min(TTM!Z200,0.5),-0.5),""))</f>
        <v>0.3303657946</v>
      </c>
      <c r="AA200" s="14">
        <f>if(TTM!AA200="","",iferror(max(min(TTM!AA200,0.5),-0.5),""))</f>
        <v>0.01297986484</v>
      </c>
      <c r="AB200" s="14">
        <f>if(TTM!AB200="","",iferror(max(min(TTM!AB200,0.5),-0.5),""))</f>
        <v>-0.1160791948</v>
      </c>
      <c r="AC200" s="14">
        <f>if(TTM!AC200="","",iferror(max(min(TTM!AC200,0.5),-0.5),""))</f>
        <v>-0.5</v>
      </c>
      <c r="AD200" s="12"/>
    </row>
    <row r="201">
      <c r="A201" s="15" t="s">
        <v>114</v>
      </c>
      <c r="B201" s="14">
        <f>if(TTM!B201="","",iferror(max(min(TTM!B201,0.5),-0.5),""))</f>
        <v>0.006332574925</v>
      </c>
      <c r="C201" s="14">
        <f>if(TTM!C201="","",iferror(max(min(TTM!C201,0.5),-0.5),""))</f>
        <v>0.3362100946</v>
      </c>
      <c r="D201" s="14">
        <f>if(TTM!D201="","",iferror(max(min(TTM!D201,0.5),-0.5),""))</f>
        <v>0.03183730578</v>
      </c>
      <c r="E201" s="14">
        <f>if(TTM!E201="","",iferror(max(min(TTM!E201,0.5),-0.5),""))</f>
        <v>0.1596800108</v>
      </c>
      <c r="F201" s="14">
        <f>if(TTM!F201="","",iferror(max(min(TTM!F201,0.5),-0.5),""))</f>
        <v>0.06380882483</v>
      </c>
      <c r="G201" s="14">
        <f>if(TTM!G201="","",iferror(max(min(TTM!G201,0.5),-0.5),""))</f>
        <v>-0.06085354003</v>
      </c>
      <c r="H201" s="14">
        <f>if(TTM!H201="","",iferror(max(min(TTM!H201,0.5),-0.5),""))</f>
        <v>0.2136537439</v>
      </c>
      <c r="I201" s="14">
        <f>if(TTM!I201="","",iferror(max(min(TTM!I201,0.5),-0.5),""))</f>
        <v>0.1026163539</v>
      </c>
      <c r="J201" s="14">
        <f>if(TTM!J201="","",iferror(max(min(TTM!J201,0.5),-0.5),""))</f>
        <v>-0.3264684951</v>
      </c>
      <c r="K201" s="14" t="str">
        <f>if(TTM!K201="","",iferror(max(min(TTM!K201,0.5),-0.5),""))</f>
        <v/>
      </c>
      <c r="L201" s="14">
        <f>if(TTM!L201="","",iferror(max(min(TTM!L201,0.5),-0.5),""))</f>
        <v>0.222841938</v>
      </c>
      <c r="M201" s="14" t="str">
        <f>if(TTM!M201="","",iferror(max(min(TTM!M201,0.5),-0.5),""))</f>
        <v/>
      </c>
      <c r="N201" s="14">
        <f>if(TTM!N201="","",iferror(max(min(TTM!N201,0.5),-0.5),""))</f>
        <v>-0.3962822871</v>
      </c>
      <c r="O201" s="14">
        <f>if(TTM!O201="","",iferror(max(min(TTM!O201,0.5),-0.5),""))</f>
        <v>0.1386915958</v>
      </c>
      <c r="P201" s="14" t="str">
        <f>if(TTM!P201="","",iferror(max(min(TTM!P201,0.5),-0.5),""))</f>
        <v/>
      </c>
      <c r="Q201" s="14" t="str">
        <f>if(TTM!Q201="","",iferror(max(min(TTM!Q201,0.5),-0.5),""))</f>
        <v/>
      </c>
      <c r="R201" s="14"/>
      <c r="S201" s="14">
        <f>if(TTM!S201="","",iferror(max(min(TTM!S201,0.5),-0.5),""))</f>
        <v>0.04838026815</v>
      </c>
      <c r="T201" s="14">
        <f>if(TTM!T201="","",iferror(max(min(TTM!T201,0.5),-0.5),""))</f>
        <v>0.06183969209</v>
      </c>
      <c r="U201" s="14" t="str">
        <f>if(TTM!U201="","",iferror(max(min(TTM!U201,0.5),-0.5),""))</f>
        <v/>
      </c>
      <c r="V201" s="14" t="str">
        <f>if(TTM!V201="","",iferror(max(min(TTM!V201,0.5),-0.5),""))</f>
        <v/>
      </c>
      <c r="W201" s="14" t="str">
        <f>if(TTM!W201="","",iferror(max(min(TTM!W201,0.5),-0.5),""))</f>
        <v/>
      </c>
      <c r="X201" s="14">
        <f>if(TTM!X201="","",iferror(max(min(TTM!X201,0.5),-0.5),""))</f>
        <v>0.147295537</v>
      </c>
      <c r="Y201" s="14">
        <f>if(TTM!Y201="","",iferror(max(min(TTM!Y201,0.5),-0.5),""))</f>
        <v>0.125381223</v>
      </c>
      <c r="Z201" s="14">
        <f>if(TTM!Z201="","",iferror(max(min(TTM!Z201,0.5),-0.5),""))</f>
        <v>0.2960246151</v>
      </c>
      <c r="AA201" s="14">
        <f>if(TTM!AA201="","",iferror(max(min(TTM!AA201,0.5),-0.5),""))</f>
        <v>0.01163843345</v>
      </c>
      <c r="AB201" s="14">
        <f>if(TTM!AB201="","",iferror(max(min(TTM!AB201,0.5),-0.5),""))</f>
        <v>-0.09489969621</v>
      </c>
      <c r="AC201" s="14">
        <f>if(TTM!AC201="","",iferror(max(min(TTM!AC201,0.5),-0.5),""))</f>
        <v>-0.5</v>
      </c>
      <c r="AD201" s="12"/>
    </row>
    <row r="202">
      <c r="A202" s="15" t="s">
        <v>115</v>
      </c>
      <c r="B202" s="14">
        <f>if(TTM!B202="","",iferror(max(min(TTM!B202,0.5),-0.5),""))</f>
        <v>0.01345368225</v>
      </c>
      <c r="C202" s="14">
        <f>if(TTM!C202="","",iferror(max(min(TTM!C202,0.5),-0.5),""))</f>
        <v>0.3503128526</v>
      </c>
      <c r="D202" s="14">
        <f>if(TTM!D202="","",iferror(max(min(TTM!D202,0.5),-0.5),""))</f>
        <v>0.02511158717</v>
      </c>
      <c r="E202" s="14">
        <f>if(TTM!E202="","",iferror(max(min(TTM!E202,0.5),-0.5),""))</f>
        <v>0.2243480036</v>
      </c>
      <c r="F202" s="14">
        <f>if(TTM!F202="","",iferror(max(min(TTM!F202,0.5),-0.5),""))</f>
        <v>0.06211485124</v>
      </c>
      <c r="G202" s="14">
        <f>if(TTM!G202="","",iferror(max(min(TTM!G202,0.5),-0.5),""))</f>
        <v>-0.08730781701</v>
      </c>
      <c r="H202" s="14">
        <f>if(TTM!H202="","",iferror(max(min(TTM!H202,0.5),-0.5),""))</f>
        <v>0.2136537439</v>
      </c>
      <c r="I202" s="14">
        <f>if(TTM!I202="","",iferror(max(min(TTM!I202,0.5),-0.5),""))</f>
        <v>0.09133871074</v>
      </c>
      <c r="J202" s="14">
        <f>if(TTM!J202="","",iferror(max(min(TTM!J202,0.5),-0.5),""))</f>
        <v>-0.3305570423</v>
      </c>
      <c r="K202" s="14" t="str">
        <f>if(TTM!K202="","",iferror(max(min(TTM!K202,0.5),-0.5),""))</f>
        <v/>
      </c>
      <c r="L202" s="14">
        <f>if(TTM!L202="","",iferror(max(min(TTM!L202,0.5),-0.5),""))</f>
        <v>0.219074963</v>
      </c>
      <c r="M202" s="14" t="str">
        <f>if(TTM!M202="","",iferror(max(min(TTM!M202,0.5),-0.5),""))</f>
        <v/>
      </c>
      <c r="N202" s="14">
        <f>if(TTM!N202="","",iferror(max(min(TTM!N202,0.5),-0.5),""))</f>
        <v>-0.2512101293</v>
      </c>
      <c r="O202" s="14">
        <f>if(TTM!O202="","",iferror(max(min(TTM!O202,0.5),-0.5),""))</f>
        <v>0.1159203184</v>
      </c>
      <c r="P202" s="14" t="str">
        <f>if(TTM!P202="","",iferror(max(min(TTM!P202,0.5),-0.5),""))</f>
        <v/>
      </c>
      <c r="Q202" s="14" t="str">
        <f>if(TTM!Q202="","",iferror(max(min(TTM!Q202,0.5),-0.5),""))</f>
        <v/>
      </c>
      <c r="R202" s="14"/>
      <c r="S202" s="14">
        <f>if(TTM!S202="","",iferror(max(min(TTM!S202,0.5),-0.5),""))</f>
        <v>0.0639367359</v>
      </c>
      <c r="T202" s="14">
        <f>if(TTM!T202="","",iferror(max(min(TTM!T202,0.5),-0.5),""))</f>
        <v>0.08885819077</v>
      </c>
      <c r="U202" s="14" t="str">
        <f>if(TTM!U202="","",iferror(max(min(TTM!U202,0.5),-0.5),""))</f>
        <v/>
      </c>
      <c r="V202" s="14" t="str">
        <f>if(TTM!V202="","",iferror(max(min(TTM!V202,0.5),-0.5),""))</f>
        <v/>
      </c>
      <c r="W202" s="14" t="str">
        <f>if(TTM!W202="","",iferror(max(min(TTM!W202,0.5),-0.5),""))</f>
        <v/>
      </c>
      <c r="X202" s="14">
        <f>if(TTM!X202="","",iferror(max(min(TTM!X202,0.5),-0.5),""))</f>
        <v>0.1446368782</v>
      </c>
      <c r="Y202" s="14">
        <f>if(TTM!Y202="","",iferror(max(min(TTM!Y202,0.5),-0.5),""))</f>
        <v>0.138397073</v>
      </c>
      <c r="Z202" s="14">
        <f>if(TTM!Z202="","",iferror(max(min(TTM!Z202,0.5),-0.5),""))</f>
        <v>0.2616834355</v>
      </c>
      <c r="AA202" s="14">
        <f>if(TTM!AA202="","",iferror(max(min(TTM!AA202,0.5),-0.5),""))</f>
        <v>0.01029700205</v>
      </c>
      <c r="AB202" s="14">
        <f>if(TTM!AB202="","",iferror(max(min(TTM!AB202,0.5),-0.5),""))</f>
        <v>-0.07372019761</v>
      </c>
      <c r="AC202" s="14">
        <f>if(TTM!AC202="","",iferror(max(min(TTM!AC202,0.5),-0.5),""))</f>
        <v>-0.5</v>
      </c>
      <c r="AD202" s="12"/>
    </row>
    <row r="203">
      <c r="A203" s="15" t="s">
        <v>116</v>
      </c>
      <c r="B203" s="14">
        <f>if(TTM!B203="","",iferror(max(min(TTM!B203,0.5),-0.5),""))</f>
        <v>0.02057478957</v>
      </c>
      <c r="C203" s="14">
        <f>if(TTM!C203="","",iferror(max(min(TTM!C203,0.5),-0.5),""))</f>
        <v>0.3493089313</v>
      </c>
      <c r="D203" s="14">
        <f>if(TTM!D203="","",iferror(max(min(TTM!D203,0.5),-0.5),""))</f>
        <v>0.03683511314</v>
      </c>
      <c r="E203" s="14">
        <f>if(TTM!E203="","",iferror(max(min(TTM!E203,0.5),-0.5),""))</f>
        <v>0.1488062367</v>
      </c>
      <c r="F203" s="14">
        <f>if(TTM!F203="","",iferror(max(min(TTM!F203,0.5),-0.5),""))</f>
        <v>0.08796384309</v>
      </c>
      <c r="G203" s="14">
        <f>if(TTM!G203="","",iferror(max(min(TTM!G203,0.5),-0.5),""))</f>
        <v>-0.05832243125</v>
      </c>
      <c r="H203" s="14">
        <f>if(TTM!H203="","",iferror(max(min(TTM!H203,0.5),-0.5),""))</f>
        <v>0.204717435</v>
      </c>
      <c r="I203" s="14">
        <f>if(TTM!I203="","",iferror(max(min(TTM!I203,0.5),-0.5),""))</f>
        <v>0.05798745699</v>
      </c>
      <c r="J203" s="14">
        <f>if(TTM!J203="","",iferror(max(min(TTM!J203,0.5),-0.5),""))</f>
        <v>-0.3421468864</v>
      </c>
      <c r="K203" s="14" t="str">
        <f>if(TTM!K203="","",iferror(max(min(TTM!K203,0.5),-0.5),""))</f>
        <v/>
      </c>
      <c r="L203" s="14">
        <f>if(TTM!L203="","",iferror(max(min(TTM!L203,0.5),-0.5),""))</f>
        <v>-0.02072104107</v>
      </c>
      <c r="M203" s="14" t="str">
        <f>if(TTM!M203="","",iferror(max(min(TTM!M203,0.5),-0.5),""))</f>
        <v/>
      </c>
      <c r="N203" s="14">
        <f>if(TTM!N203="","",iferror(max(min(TTM!N203,0.5),-0.5),""))</f>
        <v>-0.230500941</v>
      </c>
      <c r="O203" s="14">
        <f>if(TTM!O203="","",iferror(max(min(TTM!O203,0.5),-0.5),""))</f>
        <v>0.1340107735</v>
      </c>
      <c r="P203" s="14" t="str">
        <f>if(TTM!P203="","",iferror(max(min(TTM!P203,0.5),-0.5),""))</f>
        <v/>
      </c>
      <c r="Q203" s="14" t="str">
        <f>if(TTM!Q203="","",iferror(max(min(TTM!Q203,0.5),-0.5),""))</f>
        <v/>
      </c>
      <c r="R203" s="14"/>
      <c r="S203" s="14">
        <f>if(TTM!S203="","",iferror(max(min(TTM!S203,0.5),-0.5),""))</f>
        <v>0.07949320366</v>
      </c>
      <c r="T203" s="14">
        <f>if(TTM!T203="","",iferror(max(min(TTM!T203,0.5),-0.5),""))</f>
        <v>0.1158766894</v>
      </c>
      <c r="U203" s="14" t="str">
        <f>if(TTM!U203="","",iferror(max(min(TTM!U203,0.5),-0.5),""))</f>
        <v/>
      </c>
      <c r="V203" s="14" t="str">
        <f>if(TTM!V203="","",iferror(max(min(TTM!V203,0.5),-0.5),""))</f>
        <v/>
      </c>
      <c r="W203" s="14" t="str">
        <f>if(TTM!W203="","",iferror(max(min(TTM!W203,0.5),-0.5),""))</f>
        <v/>
      </c>
      <c r="X203" s="14">
        <f>if(TTM!X203="","",iferror(max(min(TTM!X203,0.5),-0.5),""))</f>
        <v>0.1480083317</v>
      </c>
      <c r="Y203" s="14">
        <f>if(TTM!Y203="","",iferror(max(min(TTM!Y203,0.5),-0.5),""))</f>
        <v>0.151412923</v>
      </c>
      <c r="Z203" s="14">
        <f>if(TTM!Z203="","",iferror(max(min(TTM!Z203,0.5),-0.5),""))</f>
        <v>0.227342256</v>
      </c>
      <c r="AA203" s="14">
        <f>if(TTM!AA203="","",iferror(max(min(TTM!AA203,0.5),-0.5),""))</f>
        <v>0.008955570664</v>
      </c>
      <c r="AB203" s="14">
        <f>if(TTM!AB203="","",iferror(max(min(TTM!AB203,0.5),-0.5),""))</f>
        <v>-0.05254069902</v>
      </c>
      <c r="AC203" s="14">
        <f>if(TTM!AC203="","",iferror(max(min(TTM!AC203,0.5),-0.5),""))</f>
        <v>-0.5</v>
      </c>
      <c r="AD203" s="12"/>
    </row>
    <row r="204">
      <c r="A204" s="15" t="s">
        <v>117</v>
      </c>
      <c r="B204" s="14">
        <f>if(TTM!B204="","",iferror(max(min(TTM!B204,0.5),-0.5),""))</f>
        <v>0.02769589689</v>
      </c>
      <c r="C204" s="14">
        <f>if(TTM!C204="","",iferror(max(min(TTM!C204,0.5),-0.5),""))</f>
        <v>0.3144670324</v>
      </c>
      <c r="D204" s="14">
        <f>if(TTM!D204="","",iferror(max(min(TTM!D204,0.5),-0.5),""))</f>
        <v>0.03411281349</v>
      </c>
      <c r="E204" s="14">
        <f>if(TTM!E204="","",iferror(max(min(TTM!E204,0.5),-0.5),""))</f>
        <v>0.07732745781</v>
      </c>
      <c r="F204" s="14">
        <f>if(TTM!F204="","",iferror(max(min(TTM!F204,0.5),-0.5),""))</f>
        <v>0.1015233482</v>
      </c>
      <c r="G204" s="14">
        <f>if(TTM!G204="","",iferror(max(min(TTM!G204,0.5),-0.5),""))</f>
        <v>-0.01051239253</v>
      </c>
      <c r="H204" s="14">
        <f>if(TTM!H204="","",iferror(max(min(TTM!H204,0.5),-0.5),""))</f>
        <v>0.1976463662</v>
      </c>
      <c r="I204" s="14">
        <f>if(TTM!I204="","",iferror(max(min(TTM!I204,0.5),-0.5),""))</f>
        <v>0.04502893108</v>
      </c>
      <c r="J204" s="14">
        <f>if(TTM!J204="","",iferror(max(min(TTM!J204,0.5),-0.5),""))</f>
        <v>-0.3353680566</v>
      </c>
      <c r="K204" s="14" t="str">
        <f>if(TTM!K204="","",iferror(max(min(TTM!K204,0.5),-0.5),""))</f>
        <v/>
      </c>
      <c r="L204" s="14">
        <f>if(TTM!L204="","",iferror(max(min(TTM!L204,0.5),-0.5),""))</f>
        <v>-0.03581641209</v>
      </c>
      <c r="M204" s="14" t="str">
        <f>if(TTM!M204="","",iferror(max(min(TTM!M204,0.5),-0.5),""))</f>
        <v/>
      </c>
      <c r="N204" s="14">
        <f>if(TTM!N204="","",iferror(max(min(TTM!N204,0.5),-0.5),""))</f>
        <v>-0.02275311891</v>
      </c>
      <c r="O204" s="14">
        <f>if(TTM!O204="","",iferror(max(min(TTM!O204,0.5),-0.5),""))</f>
        <v>0.1521012286</v>
      </c>
      <c r="P204" s="14" t="str">
        <f>if(TTM!P204="","",iferror(max(min(TTM!P204,0.5),-0.5),""))</f>
        <v/>
      </c>
      <c r="Q204" s="14" t="str">
        <f>if(TTM!Q204="","",iferror(max(min(TTM!Q204,0.5),-0.5),""))</f>
        <v/>
      </c>
      <c r="R204" s="14"/>
      <c r="S204" s="14">
        <f>if(TTM!S204="","",iferror(max(min(TTM!S204,0.5),-0.5),""))</f>
        <v>0.09504967141</v>
      </c>
      <c r="T204" s="14">
        <f>if(TTM!T204="","",iferror(max(min(TTM!T204,0.5),-0.5),""))</f>
        <v>0.1428951881</v>
      </c>
      <c r="U204" s="14" t="str">
        <f>if(TTM!U204="","",iferror(max(min(TTM!U204,0.5),-0.5),""))</f>
        <v/>
      </c>
      <c r="V204" s="14" t="str">
        <f>if(TTM!V204="","",iferror(max(min(TTM!V204,0.5),-0.5),""))</f>
        <v/>
      </c>
      <c r="W204" s="14" t="str">
        <f>if(TTM!W204="","",iferror(max(min(TTM!W204,0.5),-0.5),""))</f>
        <v/>
      </c>
      <c r="X204" s="14">
        <f>if(TTM!X204="","",iferror(max(min(TTM!X204,0.5),-0.5),""))</f>
        <v>0.1513797852</v>
      </c>
      <c r="Y204" s="14">
        <f>if(TTM!Y204="","",iferror(max(min(TTM!Y204,0.5),-0.5),""))</f>
        <v>0.164428773</v>
      </c>
      <c r="Z204" s="14">
        <f>if(TTM!Z204="","",iferror(max(min(TTM!Z204,0.5),-0.5),""))</f>
        <v>0.1930010765</v>
      </c>
      <c r="AA204" s="14">
        <f>if(TTM!AA204="","",iferror(max(min(TTM!AA204,0.5),-0.5),""))</f>
        <v>0.007614139273</v>
      </c>
      <c r="AB204" s="14">
        <f>if(TTM!AB204="","",iferror(max(min(TTM!AB204,0.5),-0.5),""))</f>
        <v>-0.03136120043</v>
      </c>
      <c r="AC204" s="14">
        <f>if(TTM!AC204="","",iferror(max(min(TTM!AC204,0.5),-0.5),""))</f>
        <v>-0.5</v>
      </c>
      <c r="AD204" s="12"/>
    </row>
    <row r="205">
      <c r="A205" s="15" t="s">
        <v>118</v>
      </c>
      <c r="B205" s="14">
        <f>if(TTM!B205="","",iferror(max(min(TTM!B205,0.5),-0.5),""))</f>
        <v>-0.5</v>
      </c>
      <c r="C205" s="14">
        <f>if(TTM!C205="","",iferror(max(min(TTM!C205,0.5),-0.5),""))</f>
        <v>0.3354510157</v>
      </c>
      <c r="D205" s="14">
        <f>if(TTM!D205="","",iferror(max(min(TTM!D205,0.5),-0.5),""))</f>
        <v>0.03744798227</v>
      </c>
      <c r="E205" s="14">
        <f>if(TTM!E205="","",iferror(max(min(TTM!E205,0.5),-0.5),""))</f>
        <v>0.2044408755</v>
      </c>
      <c r="F205" s="14">
        <f>if(TTM!F205="","",iferror(max(min(TTM!F205,0.5),-0.5),""))</f>
        <v>0.1095759487</v>
      </c>
      <c r="G205" s="14">
        <f>if(TTM!G205="","",iferror(max(min(TTM!G205,0.5),-0.5),""))</f>
        <v>0.03347997078</v>
      </c>
      <c r="H205" s="14">
        <f>if(TTM!H205="","",iferror(max(min(TTM!H205,0.5),-0.5),""))</f>
        <v>0.2169248267</v>
      </c>
      <c r="I205" s="14">
        <f>if(TTM!I205="","",iferror(max(min(TTM!I205,0.5),-0.5),""))</f>
        <v>0.01489016762</v>
      </c>
      <c r="J205" s="14">
        <f>if(TTM!J205="","",iferror(max(min(TTM!J205,0.5),-0.5),""))</f>
        <v>-0.3507770708</v>
      </c>
      <c r="K205" s="14" t="str">
        <f>if(TTM!K205="","",iferror(max(min(TTM!K205,0.5),-0.5),""))</f>
        <v/>
      </c>
      <c r="L205" s="14">
        <f>if(TTM!L205="","",iferror(max(min(TTM!L205,0.5),-0.5),""))</f>
        <v>-0.03465624287</v>
      </c>
      <c r="M205" s="14" t="str">
        <f>if(TTM!M205="","",iferror(max(min(TTM!M205,0.5),-0.5),""))</f>
        <v/>
      </c>
      <c r="N205" s="14">
        <f>if(TTM!N205="","",iferror(max(min(TTM!N205,0.5),-0.5),""))</f>
        <v>-0.04400074983</v>
      </c>
      <c r="O205" s="14">
        <f>if(TTM!O205="","",iferror(max(min(TTM!O205,0.5),-0.5),""))</f>
        <v>0.1774008985</v>
      </c>
      <c r="P205" s="14" t="str">
        <f>if(TTM!P205="","",iferror(max(min(TTM!P205,0.5),-0.5),""))</f>
        <v/>
      </c>
      <c r="Q205" s="14" t="str">
        <f>if(TTM!Q205="","",iferror(max(min(TTM!Q205,0.5),-0.5),""))</f>
        <v/>
      </c>
      <c r="R205" s="14"/>
      <c r="S205" s="14">
        <f>if(TTM!S205="","",iferror(max(min(TTM!S205,0.5),-0.5),""))</f>
        <v>0.1109457985</v>
      </c>
      <c r="T205" s="14">
        <f>if(TTM!T205="","",iferror(max(min(TTM!T205,0.5),-0.5),""))</f>
        <v>0.1699136868</v>
      </c>
      <c r="U205" s="14">
        <f>if(TTM!U205="","",iferror(max(min(TTM!U205,0.5),-0.5),""))</f>
        <v>-0.379268106</v>
      </c>
      <c r="V205" s="14" t="str">
        <f>if(TTM!V205="","",iferror(max(min(TTM!V205,0.5),-0.5),""))</f>
        <v/>
      </c>
      <c r="W205" s="14" t="str">
        <f>if(TTM!W205="","",iferror(max(min(TTM!W205,0.5),-0.5),""))</f>
        <v/>
      </c>
      <c r="X205" s="14">
        <f>if(TTM!X205="","",iferror(max(min(TTM!X205,0.5),-0.5),""))</f>
        <v>0.1547512387</v>
      </c>
      <c r="Y205" s="14">
        <f>if(TTM!Y205="","",iferror(max(min(TTM!Y205,0.5),-0.5),""))</f>
        <v>0.1623584394</v>
      </c>
      <c r="Z205" s="14">
        <f>if(TTM!Z205="","",iferror(max(min(TTM!Z205,0.5),-0.5),""))</f>
        <v>0.2179802706</v>
      </c>
      <c r="AA205" s="14">
        <f>if(TTM!AA205="","",iferror(max(min(TTM!AA205,0.5),-0.5),""))</f>
        <v>0.005490846941</v>
      </c>
      <c r="AB205" s="14">
        <f>if(TTM!AB205="","",iferror(max(min(TTM!AB205,0.5),-0.5),""))</f>
        <v>-0.02372203644</v>
      </c>
      <c r="AC205" s="14">
        <f>if(TTM!AC205="","",iferror(max(min(TTM!AC205,0.5),-0.5),""))</f>
        <v>-0.5</v>
      </c>
      <c r="AD205" s="12"/>
    </row>
    <row r="206">
      <c r="A206" s="15" t="s">
        <v>119</v>
      </c>
      <c r="B206" s="14">
        <f>if(TTM!B206="","",iferror(max(min(TTM!B206,0.5),-0.5),""))</f>
        <v>-0.5</v>
      </c>
      <c r="C206" s="14">
        <f>if(TTM!C206="","",iferror(max(min(TTM!C206,0.5),-0.5),""))</f>
        <v>0.3283824261</v>
      </c>
      <c r="D206" s="14">
        <f>if(TTM!D206="","",iferror(max(min(TTM!D206,0.5),-0.5),""))</f>
        <v>0.05729630793</v>
      </c>
      <c r="E206" s="14">
        <f>if(TTM!E206="","",iferror(max(min(TTM!E206,0.5),-0.5),""))</f>
        <v>0.1061992636</v>
      </c>
      <c r="F206" s="14">
        <f>if(TTM!F206="","",iferror(max(min(TTM!F206,0.5),-0.5),""))</f>
        <v>0.1256108863</v>
      </c>
      <c r="G206" s="14">
        <f>if(TTM!G206="","",iferror(max(min(TTM!G206,0.5),-0.5),""))</f>
        <v>0.07457323479</v>
      </c>
      <c r="H206" s="14">
        <f>if(TTM!H206="","",iferror(max(min(TTM!H206,0.5),-0.5),""))</f>
        <v>0.2034664183</v>
      </c>
      <c r="I206" s="14">
        <f>if(TTM!I206="","",iferror(max(min(TTM!I206,0.5),-0.5),""))</f>
        <v>-0.02788396951</v>
      </c>
      <c r="J206" s="14">
        <f>if(TTM!J206="","",iferror(max(min(TTM!J206,0.5),-0.5),""))</f>
        <v>-0.3328139651</v>
      </c>
      <c r="K206" s="14" t="str">
        <f>if(TTM!K206="","",iferror(max(min(TTM!K206,0.5),-0.5),""))</f>
        <v/>
      </c>
      <c r="L206" s="14">
        <f>if(TTM!L206="","",iferror(max(min(TTM!L206,0.5),-0.5),""))</f>
        <v>-0.06789498299</v>
      </c>
      <c r="M206" s="14" t="str">
        <f>if(TTM!M206="","",iferror(max(min(TTM!M206,0.5),-0.5),""))</f>
        <v/>
      </c>
      <c r="N206" s="14">
        <f>if(TTM!N206="","",iferror(max(min(TTM!N206,0.5),-0.5),""))</f>
        <v>-0.02370465972</v>
      </c>
      <c r="O206" s="14">
        <f>if(TTM!O206="","",iferror(max(min(TTM!O206,0.5),-0.5),""))</f>
        <v>0.2027005684</v>
      </c>
      <c r="P206" s="14" t="str">
        <f>if(TTM!P206="","",iferror(max(min(TTM!P206,0.5),-0.5),""))</f>
        <v/>
      </c>
      <c r="Q206" s="14" t="str">
        <f>if(TTM!Q206="","",iferror(max(min(TTM!Q206,0.5),-0.5),""))</f>
        <v/>
      </c>
      <c r="R206" s="14"/>
      <c r="S206" s="14">
        <f>if(TTM!S206="","",iferror(max(min(TTM!S206,0.5),-0.5),""))</f>
        <v>0.1268419255</v>
      </c>
      <c r="T206" s="14">
        <f>if(TTM!T206="","",iferror(max(min(TTM!T206,0.5),-0.5),""))</f>
        <v>0.1931356413</v>
      </c>
      <c r="U206" s="14">
        <f>if(TTM!U206="","",iferror(max(min(TTM!U206,0.5),-0.5),""))</f>
        <v>-0.2674710301</v>
      </c>
      <c r="V206" s="14" t="str">
        <f>if(TTM!V206="","",iferror(max(min(TTM!V206,0.5),-0.5),""))</f>
        <v/>
      </c>
      <c r="W206" s="14" t="str">
        <f>if(TTM!W206="","",iferror(max(min(TTM!W206,0.5),-0.5),""))</f>
        <v/>
      </c>
      <c r="X206" s="14">
        <f>if(TTM!X206="","",iferror(max(min(TTM!X206,0.5),-0.5),""))</f>
        <v>0.1581226922</v>
      </c>
      <c r="Y206" s="14">
        <f>if(TTM!Y206="","",iferror(max(min(TTM!Y206,0.5),-0.5),""))</f>
        <v>0.1602881057</v>
      </c>
      <c r="Z206" s="14">
        <f>if(TTM!Z206="","",iferror(max(min(TTM!Z206,0.5),-0.5),""))</f>
        <v>0.2429594647</v>
      </c>
      <c r="AA206" s="14">
        <f>if(TTM!AA206="","",iferror(max(min(TTM!AA206,0.5),-0.5),""))</f>
        <v>0.003367554609</v>
      </c>
      <c r="AB206" s="14">
        <f>if(TTM!AB206="","",iferror(max(min(TTM!AB206,0.5),-0.5),""))</f>
        <v>-0.01608287244</v>
      </c>
      <c r="AC206" s="14">
        <f>if(TTM!AC206="","",iferror(max(min(TTM!AC206,0.5),-0.5),""))</f>
        <v>-0.5</v>
      </c>
      <c r="AD206" s="12"/>
    </row>
    <row r="207">
      <c r="A207" s="15" t="s">
        <v>120</v>
      </c>
      <c r="B207" s="14">
        <f>if(TTM!B207="","",iferror(max(min(TTM!B207,0.5),-0.5),""))</f>
        <v>-0.5</v>
      </c>
      <c r="C207" s="14">
        <f>if(TTM!C207="","",iferror(max(min(TTM!C207,0.5),-0.5),""))</f>
        <v>0.3300655253</v>
      </c>
      <c r="D207" s="14">
        <f>if(TTM!D207="","",iferror(max(min(TTM!D207,0.5),-0.5),""))</f>
        <v>0.07383078526</v>
      </c>
      <c r="E207" s="14">
        <f>if(TTM!E207="","",iferror(max(min(TTM!E207,0.5),-0.5),""))</f>
        <v>0.1565612276</v>
      </c>
      <c r="F207" s="14">
        <f>if(TTM!F207="","",iferror(max(min(TTM!F207,0.5),-0.5),""))</f>
        <v>0.1207619902</v>
      </c>
      <c r="G207" s="14">
        <f>if(TTM!G207="","",iferror(max(min(TTM!G207,0.5),-0.5),""))</f>
        <v>0.06034829549</v>
      </c>
      <c r="H207" s="14">
        <f>if(TTM!H207="","",iferror(max(min(TTM!H207,0.5),-0.5),""))</f>
        <v>0.2043252403</v>
      </c>
      <c r="I207" s="14">
        <f>if(TTM!I207="","",iferror(max(min(TTM!I207,0.5),-0.5),""))</f>
        <v>-0.0310086735</v>
      </c>
      <c r="J207" s="14">
        <f>if(TTM!J207="","",iferror(max(min(TTM!J207,0.5),-0.5),""))</f>
        <v>-0.2969831752</v>
      </c>
      <c r="K207" s="14" t="str">
        <f>if(TTM!K207="","",iferror(max(min(TTM!K207,0.5),-0.5),""))</f>
        <v/>
      </c>
      <c r="L207" s="14">
        <f>if(TTM!L207="","",iferror(max(min(TTM!L207,0.5),-0.5),""))</f>
        <v>0.1528084128</v>
      </c>
      <c r="M207" s="14" t="str">
        <f>if(TTM!M207="","",iferror(max(min(TTM!M207,0.5),-0.5),""))</f>
        <v/>
      </c>
      <c r="N207" s="14">
        <f>if(TTM!N207="","",iferror(max(min(TTM!N207,0.5),-0.5),""))</f>
        <v>0.002751578255</v>
      </c>
      <c r="O207" s="14">
        <f>if(TTM!O207="","",iferror(max(min(TTM!O207,0.5),-0.5),""))</f>
        <v>0.1694934617</v>
      </c>
      <c r="P207" s="14" t="str">
        <f>if(TTM!P207="","",iferror(max(min(TTM!P207,0.5),-0.5),""))</f>
        <v/>
      </c>
      <c r="Q207" s="14" t="str">
        <f>if(TTM!Q207="","",iferror(max(min(TTM!Q207,0.5),-0.5),""))</f>
        <v/>
      </c>
      <c r="R207" s="14"/>
      <c r="S207" s="14">
        <f>if(TTM!S207="","",iferror(max(min(TTM!S207,0.5),-0.5),""))</f>
        <v>0.1427380526</v>
      </c>
      <c r="T207" s="14">
        <f>if(TTM!T207="","",iferror(max(min(TTM!T207,0.5),-0.5),""))</f>
        <v>0.2163575958</v>
      </c>
      <c r="U207" s="14">
        <f>if(TTM!U207="","",iferror(max(min(TTM!U207,0.5),-0.5),""))</f>
        <v>-0.2525518168</v>
      </c>
      <c r="V207" s="14" t="str">
        <f>if(TTM!V207="","",iferror(max(min(TTM!V207,0.5),-0.5),""))</f>
        <v/>
      </c>
      <c r="W207" s="14" t="str">
        <f>if(TTM!W207="","",iferror(max(min(TTM!W207,0.5),-0.5),""))</f>
        <v/>
      </c>
      <c r="X207" s="14">
        <f>if(TTM!X207="","",iferror(max(min(TTM!X207,0.5),-0.5),""))</f>
        <v>0.1743684728</v>
      </c>
      <c r="Y207" s="14">
        <f>if(TTM!Y207="","",iferror(max(min(TTM!Y207,0.5),-0.5),""))</f>
        <v>0.158217772</v>
      </c>
      <c r="Z207" s="14">
        <f>if(TTM!Z207="","",iferror(max(min(TTM!Z207,0.5),-0.5),""))</f>
        <v>0.2679386588</v>
      </c>
      <c r="AA207" s="14">
        <f>if(TTM!AA207="","",iferror(max(min(TTM!AA207,0.5),-0.5),""))</f>
        <v>0.001244262277</v>
      </c>
      <c r="AB207" s="14">
        <f>if(TTM!AB207="","",iferror(max(min(TTM!AB207,0.5),-0.5),""))</f>
        <v>-0.00844370845</v>
      </c>
      <c r="AC207" s="14">
        <f>if(TTM!AC207="","",iferror(max(min(TTM!AC207,0.5),-0.5),""))</f>
        <v>-0.5</v>
      </c>
      <c r="AD207" s="12"/>
    </row>
    <row r="208">
      <c r="A208" s="15" t="s">
        <v>121</v>
      </c>
      <c r="B208" s="14">
        <f>if(TTM!B208="","",iferror(max(min(TTM!B208,0.5),-0.5),""))</f>
        <v>-0.5</v>
      </c>
      <c r="C208" s="14">
        <f>if(TTM!C208="","",iferror(max(min(TTM!C208,0.5),-0.5),""))</f>
        <v>0.3872095569</v>
      </c>
      <c r="D208" s="14">
        <f>if(TTM!D208="","",iferror(max(min(TTM!D208,0.5),-0.5),""))</f>
        <v>0.1092226576</v>
      </c>
      <c r="E208" s="14">
        <f>if(TTM!E208="","",iferror(max(min(TTM!E208,0.5),-0.5),""))</f>
        <v>0.2668131098</v>
      </c>
      <c r="F208" s="14">
        <f>if(TTM!F208="","",iferror(max(min(TTM!F208,0.5),-0.5),""))</f>
        <v>0.1197914096</v>
      </c>
      <c r="G208" s="14">
        <f>if(TTM!G208="","",iferror(max(min(TTM!G208,0.5),-0.5),""))</f>
        <v>0.04820690801</v>
      </c>
      <c r="H208" s="14">
        <f>if(TTM!H208="","",iferror(max(min(TTM!H208,0.5),-0.5),""))</f>
        <v>0.1993528149</v>
      </c>
      <c r="I208" s="14">
        <f>if(TTM!I208="","",iferror(max(min(TTM!I208,0.5),-0.5),""))</f>
        <v>-0.05363229029</v>
      </c>
      <c r="J208" s="14">
        <f>if(TTM!J208="","",iferror(max(min(TTM!J208,0.5),-0.5),""))</f>
        <v>-0.2882862213</v>
      </c>
      <c r="K208" s="14" t="str">
        <f>if(TTM!K208="","",iferror(max(min(TTM!K208,0.5),-0.5),""))</f>
        <v/>
      </c>
      <c r="L208" s="14">
        <f>if(TTM!L208="","",iferror(max(min(TTM!L208,0.5),-0.5),""))</f>
        <v>0.1642794924</v>
      </c>
      <c r="M208" s="14" t="str">
        <f>if(TTM!M208="","",iferror(max(min(TTM!M208,0.5),-0.5),""))</f>
        <v/>
      </c>
      <c r="N208" s="14">
        <f>if(TTM!N208="","",iferror(max(min(TTM!N208,0.5),-0.5),""))</f>
        <v>-0.006548909692</v>
      </c>
      <c r="O208" s="14">
        <f>if(TTM!O208="","",iferror(max(min(TTM!O208,0.5),-0.5),""))</f>
        <v>0.1362863551</v>
      </c>
      <c r="P208" s="14" t="str">
        <f>if(TTM!P208="","",iferror(max(min(TTM!P208,0.5),-0.5),""))</f>
        <v/>
      </c>
      <c r="Q208" s="14" t="str">
        <f>if(TTM!Q208="","",iferror(max(min(TTM!Q208,0.5),-0.5),""))</f>
        <v/>
      </c>
      <c r="R208" s="14"/>
      <c r="S208" s="14">
        <f>if(TTM!S208="","",iferror(max(min(TTM!S208,0.5),-0.5),""))</f>
        <v>0.1586341797</v>
      </c>
      <c r="T208" s="14">
        <f>if(TTM!T208="","",iferror(max(min(TTM!T208,0.5),-0.5),""))</f>
        <v>0.2395795503</v>
      </c>
      <c r="U208" s="14">
        <f>if(TTM!U208="","",iferror(max(min(TTM!U208,0.5),-0.5),""))</f>
        <v>-0.1742293628</v>
      </c>
      <c r="V208" s="14" t="str">
        <f>if(TTM!V208="","",iferror(max(min(TTM!V208,0.5),-0.5),""))</f>
        <v/>
      </c>
      <c r="W208" s="14" t="str">
        <f>if(TTM!W208="","",iferror(max(min(TTM!W208,0.5),-0.5),""))</f>
        <v/>
      </c>
      <c r="X208" s="14">
        <f>if(TTM!X208="","",iferror(max(min(TTM!X208,0.5),-0.5),""))</f>
        <v>0.1906142534</v>
      </c>
      <c r="Y208" s="14">
        <f>if(TTM!Y208="","",iferror(max(min(TTM!Y208,0.5),-0.5),""))</f>
        <v>0.1561474383</v>
      </c>
      <c r="Z208" s="14">
        <f>if(TTM!Z208="","",iferror(max(min(TTM!Z208,0.5),-0.5),""))</f>
        <v>0.2929178529</v>
      </c>
      <c r="AA208" s="14">
        <f>if(TTM!AA208="","",iferror(max(min(TTM!AA208,0.5),-0.5),""))</f>
        <v>-0.0008790300551</v>
      </c>
      <c r="AB208" s="14">
        <f>if(TTM!AB208="","",iferror(max(min(TTM!AB208,0.5),-0.5),""))</f>
        <v>-0.0008045444572</v>
      </c>
      <c r="AC208" s="14">
        <f>if(TTM!AC208="","",iferror(max(min(TTM!AC208,0.5),-0.5),""))</f>
        <v>-0.5</v>
      </c>
      <c r="AD208" s="12"/>
    </row>
    <row r="209">
      <c r="A209" s="15" t="s">
        <v>122</v>
      </c>
      <c r="B209" s="14">
        <f>if(TTM!B209="","",iferror(max(min(TTM!B209,0.5),-0.5),""))</f>
        <v>-0.5</v>
      </c>
      <c r="C209" s="14">
        <f>if(TTM!C209="","",iferror(max(min(TTM!C209,0.5),-0.5),""))</f>
        <v>0.2230183221</v>
      </c>
      <c r="D209" s="14">
        <f>if(TTM!D209="","",iferror(max(min(TTM!D209,0.5),-0.5),""))</f>
        <v>0.1142455777</v>
      </c>
      <c r="E209" s="14">
        <f>if(TTM!E209="","",iferror(max(min(TTM!E209,0.5),-0.5),""))</f>
        <v>-0.1805855883</v>
      </c>
      <c r="F209" s="14">
        <f>if(TTM!F209="","",iferror(max(min(TTM!F209,0.5),-0.5),""))</f>
        <v>0.0735693447</v>
      </c>
      <c r="G209" s="14">
        <f>if(TTM!G209="","",iferror(max(min(TTM!G209,0.5),-0.5),""))</f>
        <v>-0.3532560151</v>
      </c>
      <c r="H209" s="14">
        <f>if(TTM!H209="","",iferror(max(min(TTM!H209,0.5),-0.5),""))</f>
        <v>0.1929273352</v>
      </c>
      <c r="I209" s="14">
        <f>if(TTM!I209="","",iferror(max(min(TTM!I209,0.5),-0.5),""))</f>
        <v>-0.1057748703</v>
      </c>
      <c r="J209" s="14">
        <f>if(TTM!J209="","",iferror(max(min(TTM!J209,0.5),-0.5),""))</f>
        <v>-0.5</v>
      </c>
      <c r="K209" s="14" t="str">
        <f>if(TTM!K209="","",iferror(max(min(TTM!K209,0.5),-0.5),""))</f>
        <v/>
      </c>
      <c r="L209" s="14">
        <f>if(TTM!L209="","",iferror(max(min(TTM!L209,0.5),-0.5),""))</f>
        <v>0.5</v>
      </c>
      <c r="M209" s="14" t="str">
        <f>if(TTM!M209="","",iferror(max(min(TTM!M209,0.5),-0.5),""))</f>
        <v/>
      </c>
      <c r="N209" s="14">
        <f>if(TTM!N209="","",iferror(max(min(TTM!N209,0.5),-0.5),""))</f>
        <v>-0.09532040624</v>
      </c>
      <c r="O209" s="14">
        <f>if(TTM!O209="","",iferror(max(min(TTM!O209,0.5),-0.5),""))</f>
        <v>-0.5</v>
      </c>
      <c r="P209" s="14" t="str">
        <f>if(TTM!P209="","",iferror(max(min(TTM!P209,0.5),-0.5),""))</f>
        <v/>
      </c>
      <c r="Q209" s="14" t="str">
        <f>if(TTM!Q209="","",iferror(max(min(TTM!Q209,0.5),-0.5),""))</f>
        <v/>
      </c>
      <c r="R209" s="14"/>
      <c r="S209" s="14">
        <f>if(TTM!S209="","",iferror(max(min(TTM!S209,0.5),-0.5),""))</f>
        <v>0.01208486021</v>
      </c>
      <c r="T209" s="14">
        <f>if(TTM!T209="","",iferror(max(min(TTM!T209,0.5),-0.5),""))</f>
        <v>0.2628015048</v>
      </c>
      <c r="U209" s="14">
        <f>if(TTM!U209="","",iferror(max(min(TTM!U209,0.5),-0.5),""))</f>
        <v>-0.1057096136</v>
      </c>
      <c r="V209" s="14" t="str">
        <f>if(TTM!V209="","",iferror(max(min(TTM!V209,0.5),-0.5),""))</f>
        <v/>
      </c>
      <c r="W209" s="14" t="str">
        <f>if(TTM!W209="","",iferror(max(min(TTM!W209,0.5),-0.5),""))</f>
        <v/>
      </c>
      <c r="X209" s="14">
        <f>if(TTM!X209="","",iferror(max(min(TTM!X209,0.5),-0.5),""))</f>
        <v>0.206860034</v>
      </c>
      <c r="Y209" s="14">
        <f>if(TTM!Y209="","",iferror(max(min(TTM!Y209,0.5),-0.5),""))</f>
        <v>-0.1384640813</v>
      </c>
      <c r="Z209" s="14">
        <f>if(TTM!Z209="","",iferror(max(min(TTM!Z209,0.5),-0.5),""))</f>
        <v>0.1099903134</v>
      </c>
      <c r="AA209" s="14">
        <f>if(TTM!AA209="","",iferror(max(min(TTM!AA209,0.5),-0.5),""))</f>
        <v>-0.0200353293</v>
      </c>
      <c r="AB209" s="14">
        <f>if(TTM!AB209="","",iferror(max(min(TTM!AB209,0.5),-0.5),""))</f>
        <v>-0.01305643192</v>
      </c>
      <c r="AC209" s="14">
        <f>if(TTM!AC209="","",iferror(max(min(TTM!AC209,0.5),-0.5),""))</f>
        <v>-0.5</v>
      </c>
      <c r="AD209" s="12"/>
    </row>
    <row r="210">
      <c r="A210" s="15" t="s">
        <v>123</v>
      </c>
      <c r="B210" s="14">
        <f>if(TTM!B210="","",iferror(max(min(TTM!B210,0.5),-0.5),""))</f>
        <v>-0.5</v>
      </c>
      <c r="C210" s="14">
        <f>if(TTM!C210="","",iferror(max(min(TTM!C210,0.5),-0.5),""))</f>
        <v>0.2275782066</v>
      </c>
      <c r="D210" s="14">
        <f>if(TTM!D210="","",iferror(max(min(TTM!D210,0.5),-0.5),""))</f>
        <v>-0.08989983771</v>
      </c>
      <c r="E210" s="14">
        <f>if(TTM!E210="","",iferror(max(min(TTM!E210,0.5),-0.5),""))</f>
        <v>-0.08562394174</v>
      </c>
      <c r="F210" s="14">
        <f>if(TTM!F210="","",iferror(max(min(TTM!F210,0.5),-0.5),""))</f>
        <v>-0.5</v>
      </c>
      <c r="G210" s="14">
        <f>if(TTM!G210="","",iferror(max(min(TTM!G210,0.5),-0.5),""))</f>
        <v>-0.5</v>
      </c>
      <c r="H210" s="14">
        <f>if(TTM!H210="","",iferror(max(min(TTM!H210,0.5),-0.5),""))</f>
        <v>-0.07628804226</v>
      </c>
      <c r="I210" s="14">
        <f>if(TTM!I210="","",iferror(max(min(TTM!I210,0.5),-0.5),""))</f>
        <v>0.5</v>
      </c>
      <c r="J210" s="14">
        <f>if(TTM!J210="","",iferror(max(min(TTM!J210,0.5),-0.5),""))</f>
        <v>-0.5</v>
      </c>
      <c r="K210" s="14" t="str">
        <f>if(TTM!K210="","",iferror(max(min(TTM!K210,0.5),-0.5),""))</f>
        <v/>
      </c>
      <c r="L210" s="14">
        <f>if(TTM!L210="","",iferror(max(min(TTM!L210,0.5),-0.5),""))</f>
        <v>0.003098291205</v>
      </c>
      <c r="M210" s="14" t="str">
        <f>if(TTM!M210="","",iferror(max(min(TTM!M210,0.5),-0.5),""))</f>
        <v/>
      </c>
      <c r="N210" s="14">
        <f>if(TTM!N210="","",iferror(max(min(TTM!N210,0.5),-0.5),""))</f>
        <v>-0.5</v>
      </c>
      <c r="O210" s="14">
        <f>if(TTM!O210="","",iferror(max(min(TTM!O210,0.5),-0.5),""))</f>
        <v>-0.5</v>
      </c>
      <c r="P210" s="14" t="str">
        <f>if(TTM!P210="","",iferror(max(min(TTM!P210,0.5),-0.5),""))</f>
        <v/>
      </c>
      <c r="Q210" s="14" t="str">
        <f>if(TTM!Q210="","",iferror(max(min(TTM!Q210,0.5),-0.5),""))</f>
        <v/>
      </c>
      <c r="R210" s="14"/>
      <c r="S210" s="14">
        <f>if(TTM!S210="","",iferror(max(min(TTM!S210,0.5),-0.5),""))</f>
        <v>-0.1344644593</v>
      </c>
      <c r="T210" s="14">
        <f>if(TTM!T210="","",iferror(max(min(TTM!T210,0.5),-0.5),""))</f>
        <v>0.337603731</v>
      </c>
      <c r="U210" s="14">
        <f>if(TTM!U210="","",iferror(max(min(TTM!U210,0.5),-0.5),""))</f>
        <v>-0.1706463571</v>
      </c>
      <c r="V210" s="14" t="str">
        <f>if(TTM!V210="","",iferror(max(min(TTM!V210,0.5),-0.5),""))</f>
        <v/>
      </c>
      <c r="W210" s="14" t="str">
        <f>if(TTM!W210="","",iferror(max(min(TTM!W210,0.5),-0.5),""))</f>
        <v/>
      </c>
      <c r="X210" s="14">
        <f>if(TTM!X210="","",iferror(max(min(TTM!X210,0.5),-0.5),""))</f>
        <v>0.2231058146</v>
      </c>
      <c r="Y210" s="14">
        <f>if(TTM!Y210="","",iferror(max(min(TTM!Y210,0.5),-0.5),""))</f>
        <v>-0.4330756009</v>
      </c>
      <c r="Z210" s="14">
        <f>if(TTM!Z210="","",iferror(max(min(TTM!Z210,0.5),-0.5),""))</f>
        <v>-0.0729372262</v>
      </c>
      <c r="AA210" s="14">
        <f>if(TTM!AA210="","",iferror(max(min(TTM!AA210,0.5),-0.5),""))</f>
        <v>-0.03919162854</v>
      </c>
      <c r="AB210" s="14">
        <f>if(TTM!AB210="","",iferror(max(min(TTM!AB210,0.5),-0.5),""))</f>
        <v>-0.02530831938</v>
      </c>
      <c r="AC210" s="14">
        <f>if(TTM!AC210="","",iferror(max(min(TTM!AC210,0.5),-0.5),""))</f>
        <v>-0.5</v>
      </c>
      <c r="AD210" s="12"/>
    </row>
    <row r="211">
      <c r="A211" s="15" t="s">
        <v>124</v>
      </c>
      <c r="B211" s="14">
        <f>if(TTM!B211="","",iferror(max(min(TTM!B211,0.5),-0.5),""))</f>
        <v>-0.5</v>
      </c>
      <c r="C211" s="14">
        <f>if(TTM!C211="","",iferror(max(min(TTM!C211,0.5),-0.5),""))</f>
        <v>0.1894378748</v>
      </c>
      <c r="D211" s="14">
        <f>if(TTM!D211="","",iferror(max(min(TTM!D211,0.5),-0.5),""))</f>
        <v>-0.1037692607</v>
      </c>
      <c r="E211" s="14">
        <f>if(TTM!E211="","",iferror(max(min(TTM!E211,0.5),-0.5),""))</f>
        <v>-0.01608197928</v>
      </c>
      <c r="F211" s="14">
        <f>if(TTM!F211="","",iferror(max(min(TTM!F211,0.5),-0.5),""))</f>
        <v>-0.5</v>
      </c>
      <c r="G211" s="14">
        <f>if(TTM!G211="","",iferror(max(min(TTM!G211,0.5),-0.5),""))</f>
        <v>-0.5</v>
      </c>
      <c r="H211" s="14">
        <f>if(TTM!H211="","",iferror(max(min(TTM!H211,0.5),-0.5),""))</f>
        <v>-0.1518423863</v>
      </c>
      <c r="I211" s="14">
        <f>if(TTM!I211="","",iferror(max(min(TTM!I211,0.5),-0.5),""))</f>
        <v>0.5</v>
      </c>
      <c r="J211" s="14">
        <f>if(TTM!J211="","",iferror(max(min(TTM!J211,0.5),-0.5),""))</f>
        <v>-0.5</v>
      </c>
      <c r="K211" s="14" t="str">
        <f>if(TTM!K211="","",iferror(max(min(TTM!K211,0.5),-0.5),""))</f>
        <v/>
      </c>
      <c r="L211" s="14">
        <f>if(TTM!L211="","",iferror(max(min(TTM!L211,0.5),-0.5),""))</f>
        <v>-0.5</v>
      </c>
      <c r="M211" s="14" t="str">
        <f>if(TTM!M211="","",iferror(max(min(TTM!M211,0.5),-0.5),""))</f>
        <v/>
      </c>
      <c r="N211" s="14">
        <f>if(TTM!N211="","",iferror(max(min(TTM!N211,0.5),-0.5),""))</f>
        <v>-0.5</v>
      </c>
      <c r="O211" s="14">
        <f>if(TTM!O211="","",iferror(max(min(TTM!O211,0.5),-0.5),""))</f>
        <v>-0.5</v>
      </c>
      <c r="P211" s="14" t="str">
        <f>if(TTM!P211="","",iferror(max(min(TTM!P211,0.5),-0.5),""))</f>
        <v/>
      </c>
      <c r="Q211" s="14" t="str">
        <f>if(TTM!Q211="","",iferror(max(min(TTM!Q211,0.5),-0.5),""))</f>
        <v/>
      </c>
      <c r="R211" s="14"/>
      <c r="S211" s="14">
        <f>if(TTM!S211="","",iferror(max(min(TTM!S211,0.5),-0.5),""))</f>
        <v>-0.2810137787</v>
      </c>
      <c r="T211" s="14">
        <f>if(TTM!T211="","",iferror(max(min(TTM!T211,0.5),-0.5),""))</f>
        <v>0.4124059572</v>
      </c>
      <c r="U211" s="14">
        <f>if(TTM!U211="","",iferror(max(min(TTM!U211,0.5),-0.5),""))</f>
        <v>-0.4008618643</v>
      </c>
      <c r="V211" s="14" t="str">
        <f>if(TTM!V211="","",iferror(max(min(TTM!V211,0.5),-0.5),""))</f>
        <v/>
      </c>
      <c r="W211" s="14" t="str">
        <f>if(TTM!W211="","",iferror(max(min(TTM!W211,0.5),-0.5),""))</f>
        <v/>
      </c>
      <c r="X211" s="14">
        <f>if(TTM!X211="","",iferror(max(min(TTM!X211,0.5),-0.5),""))</f>
        <v>0.03637208812</v>
      </c>
      <c r="Y211" s="14">
        <f>if(TTM!Y211="","",iferror(max(min(TTM!Y211,0.5),-0.5),""))</f>
        <v>-0.5</v>
      </c>
      <c r="Z211" s="14">
        <f>if(TTM!Z211="","",iferror(max(min(TTM!Z211,0.5),-0.5),""))</f>
        <v>-0.2558647658</v>
      </c>
      <c r="AA211" s="14">
        <f>if(TTM!AA211="","",iferror(max(min(TTM!AA211,0.5),-0.5),""))</f>
        <v>-0.05834792778</v>
      </c>
      <c r="AB211" s="14">
        <f>if(TTM!AB211="","",iferror(max(min(TTM!AB211,0.5),-0.5),""))</f>
        <v>-0.03756020684</v>
      </c>
      <c r="AC211" s="14">
        <f>if(TTM!AC211="","",iferror(max(min(TTM!AC211,0.5),-0.5),""))</f>
        <v>-0.5</v>
      </c>
      <c r="AD211" s="12"/>
    </row>
    <row r="212">
      <c r="A212" s="15" t="s">
        <v>125</v>
      </c>
      <c r="B212" s="14">
        <f>if(TTM!B212="","",iferror(max(min(TTM!B212,0.5),-0.5),""))</f>
        <v>-0.5</v>
      </c>
      <c r="C212" s="14">
        <f>if(TTM!C212="","",iferror(max(min(TTM!C212,0.5),-0.5),""))</f>
        <v>0.1325935771</v>
      </c>
      <c r="D212" s="14">
        <f>if(TTM!D212="","",iferror(max(min(TTM!D212,0.5),-0.5),""))</f>
        <v>-0.1870233244</v>
      </c>
      <c r="E212" s="14">
        <f>if(TTM!E212="","",iferror(max(min(TTM!E212,0.5),-0.5),""))</f>
        <v>-0.04752001847</v>
      </c>
      <c r="F212" s="14">
        <f>if(TTM!F212="","",iferror(max(min(TTM!F212,0.5),-0.5),""))</f>
        <v>-0.5</v>
      </c>
      <c r="G212" s="14">
        <f>if(TTM!G212="","",iferror(max(min(TTM!G212,0.5),-0.5),""))</f>
        <v>-0.5</v>
      </c>
      <c r="H212" s="14">
        <f>if(TTM!H212="","",iferror(max(min(TTM!H212,0.5),-0.5),""))</f>
        <v>-0.3008173293</v>
      </c>
      <c r="I212" s="14">
        <f>if(TTM!I212="","",iferror(max(min(TTM!I212,0.5),-0.5),""))</f>
        <v>0.4387505231</v>
      </c>
      <c r="J212" s="14">
        <f>if(TTM!J212="","",iferror(max(min(TTM!J212,0.5),-0.5),""))</f>
        <v>-0.5</v>
      </c>
      <c r="K212" s="14" t="str">
        <f>if(TTM!K212="","",iferror(max(min(TTM!K212,0.5),-0.5),""))</f>
        <v/>
      </c>
      <c r="L212" s="14">
        <f>if(TTM!L212="","",iferror(max(min(TTM!L212,0.5),-0.5),""))</f>
        <v>-0.5</v>
      </c>
      <c r="M212" s="14" t="str">
        <f>if(TTM!M212="","",iferror(max(min(TTM!M212,0.5),-0.5),""))</f>
        <v/>
      </c>
      <c r="N212" s="14">
        <f>if(TTM!N212="","",iferror(max(min(TTM!N212,0.5),-0.5),""))</f>
        <v>-0.5</v>
      </c>
      <c r="O212" s="14">
        <f>if(TTM!O212="","",iferror(max(min(TTM!O212,0.5),-0.5),""))</f>
        <v>-0.5</v>
      </c>
      <c r="P212" s="14" t="str">
        <f>if(TTM!P212="","",iferror(max(min(TTM!P212,0.5),-0.5),""))</f>
        <v/>
      </c>
      <c r="Q212" s="14" t="str">
        <f>if(TTM!Q212="","",iferror(max(min(TTM!Q212,0.5),-0.5),""))</f>
        <v/>
      </c>
      <c r="R212" s="14"/>
      <c r="S212" s="14">
        <f>if(TTM!S212="","",iferror(max(min(TTM!S212,0.5),-0.5),""))</f>
        <v>-0.4275630982</v>
      </c>
      <c r="T212" s="14">
        <f>if(TTM!T212="","",iferror(max(min(TTM!T212,0.5),-0.5),""))</f>
        <v>0.4872081833</v>
      </c>
      <c r="U212" s="14">
        <f>if(TTM!U212="","",iferror(max(min(TTM!U212,0.5),-0.5),""))</f>
        <v>-0.5</v>
      </c>
      <c r="V212" s="14" t="str">
        <f>if(TTM!V212="","",iferror(max(min(TTM!V212,0.5),-0.5),""))</f>
        <v/>
      </c>
      <c r="W212" s="14" t="str">
        <f>if(TTM!W212="","",iferror(max(min(TTM!W212,0.5),-0.5),""))</f>
        <v/>
      </c>
      <c r="X212" s="14">
        <f>if(TTM!X212="","",iferror(max(min(TTM!X212,0.5),-0.5),""))</f>
        <v>-0.1503616384</v>
      </c>
      <c r="Y212" s="14">
        <f>if(TTM!Y212="","",iferror(max(min(TTM!Y212,0.5),-0.5),""))</f>
        <v>-0.5</v>
      </c>
      <c r="Z212" s="14">
        <f>if(TTM!Z212="","",iferror(max(min(TTM!Z212,0.5),-0.5),""))</f>
        <v>-0.4387923053</v>
      </c>
      <c r="AA212" s="14">
        <f>if(TTM!AA212="","",iferror(max(min(TTM!AA212,0.5),-0.5),""))</f>
        <v>-0.07750422702</v>
      </c>
      <c r="AB212" s="14">
        <f>if(TTM!AB212="","",iferror(max(min(TTM!AB212,0.5),-0.5),""))</f>
        <v>-0.04981209429</v>
      </c>
      <c r="AC212" s="14">
        <f>if(TTM!AC212="","",iferror(max(min(TTM!AC212,0.5),-0.5),""))</f>
        <v>-0.5</v>
      </c>
      <c r="AD212" s="12"/>
    </row>
    <row r="213">
      <c r="A213" s="15" t="s">
        <v>126</v>
      </c>
      <c r="B213" s="14">
        <f>if(TTM!B213="","",iferror(max(min(TTM!B213,0.5),-0.5),""))</f>
        <v>-0.5</v>
      </c>
      <c r="C213" s="14">
        <f>if(TTM!C213="","",iferror(max(min(TTM!C213,0.5),-0.5),""))</f>
        <v>0.1505719561</v>
      </c>
      <c r="D213" s="14">
        <f>if(TTM!D213="","",iferror(max(min(TTM!D213,0.5),-0.5),""))</f>
        <v>-0.1893699917</v>
      </c>
      <c r="E213" s="14">
        <f>if(TTM!E213="","",iferror(max(min(TTM!E213,0.5),-0.5),""))</f>
        <v>0.336024915</v>
      </c>
      <c r="F213" s="14">
        <f>if(TTM!F213="","",iferror(max(min(TTM!F213,0.5),-0.5),""))</f>
        <v>-0.5</v>
      </c>
      <c r="G213" s="14">
        <f>if(TTM!G213="","",iferror(max(min(TTM!G213,0.5),-0.5),""))</f>
        <v>-0.5</v>
      </c>
      <c r="H213" s="14">
        <f>if(TTM!H213="","",iferror(max(min(TTM!H213,0.5),-0.5),""))</f>
        <v>-0.4757204899</v>
      </c>
      <c r="I213" s="14">
        <f>if(TTM!I213="","",iferror(max(min(TTM!I213,0.5),-0.5),""))</f>
        <v>0.3066793319</v>
      </c>
      <c r="J213" s="14">
        <f>if(TTM!J213="","",iferror(max(min(TTM!J213,0.5),-0.5),""))</f>
        <v>-0.5</v>
      </c>
      <c r="K213" s="14" t="str">
        <f>if(TTM!K213="","",iferror(max(min(TTM!K213,0.5),-0.5),""))</f>
        <v/>
      </c>
      <c r="L213" s="14">
        <f>if(TTM!L213="","",iferror(max(min(TTM!L213,0.5),-0.5),""))</f>
        <v>-0.5</v>
      </c>
      <c r="M213" s="14" t="str">
        <f>if(TTM!M213="","",iferror(max(min(TTM!M213,0.5),-0.5),""))</f>
        <v/>
      </c>
      <c r="N213" s="14">
        <f>if(TTM!N213="","",iferror(max(min(TTM!N213,0.5),-0.5),""))</f>
        <v>-0.5</v>
      </c>
      <c r="O213" s="14">
        <f>if(TTM!O213="","",iferror(max(min(TTM!O213,0.5),-0.5),""))</f>
        <v>-0.5</v>
      </c>
      <c r="P213" s="14">
        <f>if(TTM!P213="","",iferror(max(min(TTM!P213,0.5),-0.5),""))</f>
        <v>0.08771929825</v>
      </c>
      <c r="Q213" s="14" t="str">
        <f>if(TTM!Q213="","",iferror(max(min(TTM!Q213,0.5),-0.5),""))</f>
        <v/>
      </c>
      <c r="R213" s="14"/>
      <c r="S213" s="14">
        <f>if(TTM!S213="","",iferror(max(min(TTM!S213,0.5),-0.5),""))</f>
        <v>-0.3456477828</v>
      </c>
      <c r="T213" s="14">
        <f>if(TTM!T213="","",iferror(max(min(TTM!T213,0.5),-0.5),""))</f>
        <v>0.5</v>
      </c>
      <c r="U213" s="14">
        <f>if(TTM!U213="","",iferror(max(min(TTM!U213,0.5),-0.5),""))</f>
        <v>-0.5</v>
      </c>
      <c r="V213" s="14" t="str">
        <f>if(TTM!V213="","",iferror(max(min(TTM!V213,0.5),-0.5),""))</f>
        <v/>
      </c>
      <c r="W213" s="14" t="str">
        <f>if(TTM!W213="","",iferror(max(min(TTM!W213,0.5),-0.5),""))</f>
        <v/>
      </c>
      <c r="X213" s="14">
        <f>if(TTM!X213="","",iferror(max(min(TTM!X213,0.5),-0.5),""))</f>
        <v>-0.3370953649</v>
      </c>
      <c r="Y213" s="14">
        <f>if(TTM!Y213="","",iferror(max(min(TTM!Y213,0.5),-0.5),""))</f>
        <v>-0.5</v>
      </c>
      <c r="Z213" s="14">
        <f>if(TTM!Z213="","",iferror(max(min(TTM!Z213,0.5),-0.5),""))</f>
        <v>-0.3804197888</v>
      </c>
      <c r="AA213" s="14">
        <f>if(TTM!AA213="","",iferror(max(min(TTM!AA213,0.5),-0.5),""))</f>
        <v>-0.05907779171</v>
      </c>
      <c r="AB213" s="14">
        <f>if(TTM!AB213="","",iferror(max(min(TTM!AB213,0.5),-0.5),""))</f>
        <v>-0.5</v>
      </c>
      <c r="AC213" s="14">
        <f>if(TTM!AC213="","",iferror(max(min(TTM!AC213,0.5),-0.5),""))</f>
        <v>-0.5</v>
      </c>
      <c r="AD213" s="12"/>
    </row>
    <row r="214">
      <c r="A214" s="15" t="s">
        <v>127</v>
      </c>
      <c r="B214" s="14">
        <f>if(TTM!B214="","",iferror(max(min(TTM!B214,0.5),-0.5),""))</f>
        <v>-0.5</v>
      </c>
      <c r="C214" s="14">
        <f>if(TTM!C214="","",iferror(max(min(TTM!C214,0.5),-0.5),""))</f>
        <v>0.06289007778</v>
      </c>
      <c r="D214" s="14">
        <f>if(TTM!D214="","",iferror(max(min(TTM!D214,0.5),-0.5),""))</f>
        <v>0.01935412376</v>
      </c>
      <c r="E214" s="14">
        <f>if(TTM!E214="","",iferror(max(min(TTM!E214,0.5),-0.5),""))</f>
        <v>0.2197478943</v>
      </c>
      <c r="F214" s="14">
        <f>if(TTM!F214="","",iferror(max(min(TTM!F214,0.5),-0.5),""))</f>
        <v>-0.5</v>
      </c>
      <c r="G214" s="14">
        <f>if(TTM!G214="","",iferror(max(min(TTM!G214,0.5),-0.5),""))</f>
        <v>-0.1353597689</v>
      </c>
      <c r="H214" s="14">
        <f>if(TTM!H214="","",iferror(max(min(TTM!H214,0.5),-0.5),""))</f>
        <v>-0.2561316081</v>
      </c>
      <c r="I214" s="14">
        <f>if(TTM!I214="","",iferror(max(min(TTM!I214,0.5),-0.5),""))</f>
        <v>-0.5</v>
      </c>
      <c r="J214" s="14">
        <f>if(TTM!J214="","",iferror(max(min(TTM!J214,0.5),-0.5),""))</f>
        <v>-0.4403128466</v>
      </c>
      <c r="K214" s="14" t="str">
        <f>if(TTM!K214="","",iferror(max(min(TTM!K214,0.5),-0.5),""))</f>
        <v/>
      </c>
      <c r="L214" s="14">
        <f>if(TTM!L214="","",iferror(max(min(TTM!L214,0.5),-0.5),""))</f>
        <v>-0.5</v>
      </c>
      <c r="M214" s="14" t="str">
        <f>if(TTM!M214="","",iferror(max(min(TTM!M214,0.5),-0.5),""))</f>
        <v/>
      </c>
      <c r="N214" s="14">
        <f>if(TTM!N214="","",iferror(max(min(TTM!N214,0.5),-0.5),""))</f>
        <v>-0.5</v>
      </c>
      <c r="O214" s="14">
        <f>if(TTM!O214="","",iferror(max(min(TTM!O214,0.5),-0.5),""))</f>
        <v>-0.5</v>
      </c>
      <c r="P214" s="14">
        <f>if(TTM!P214="","",iferror(max(min(TTM!P214,0.5),-0.5),""))</f>
        <v>0.08771929825</v>
      </c>
      <c r="Q214" s="14" t="str">
        <f>if(TTM!Q214="","",iferror(max(min(TTM!Q214,0.5),-0.5),""))</f>
        <v/>
      </c>
      <c r="R214" s="14"/>
      <c r="S214" s="14">
        <f>if(TTM!S214="","",iferror(max(min(TTM!S214,0.5),-0.5),""))</f>
        <v>-0.2637324674</v>
      </c>
      <c r="T214" s="14">
        <f>if(TTM!T214="","",iferror(max(min(TTM!T214,0.5),-0.5),""))</f>
        <v>0.5</v>
      </c>
      <c r="U214" s="14">
        <f>if(TTM!U214="","",iferror(max(min(TTM!U214,0.5),-0.5),""))</f>
        <v>-0.5</v>
      </c>
      <c r="V214" s="14" t="str">
        <f>if(TTM!V214="","",iferror(max(min(TTM!V214,0.5),-0.5),""))</f>
        <v/>
      </c>
      <c r="W214" s="14" t="str">
        <f>if(TTM!W214="","",iferror(max(min(TTM!W214,0.5),-0.5),""))</f>
        <v/>
      </c>
      <c r="X214" s="14">
        <f>if(TTM!X214="","",iferror(max(min(TTM!X214,0.5),-0.5),""))</f>
        <v>-0.5</v>
      </c>
      <c r="Y214" s="14">
        <f>if(TTM!Y214="","",iferror(max(min(TTM!Y214,0.5),-0.5),""))</f>
        <v>-0.5</v>
      </c>
      <c r="Z214" s="14">
        <f>if(TTM!Z214="","",iferror(max(min(TTM!Z214,0.5),-0.5),""))</f>
        <v>-0.3220472723</v>
      </c>
      <c r="AA214" s="14">
        <f>if(TTM!AA214="","",iferror(max(min(TTM!AA214,0.5),-0.5),""))</f>
        <v>-0.04065135639</v>
      </c>
      <c r="AB214" s="14">
        <f>if(TTM!AB214="","",iferror(max(min(TTM!AB214,0.5),-0.5),""))</f>
        <v>-0.5</v>
      </c>
      <c r="AC214" s="14">
        <f>if(TTM!AC214="","",iferror(max(min(TTM!AC214,0.5),-0.5),""))</f>
        <v>-0.5</v>
      </c>
      <c r="AD214" s="12"/>
    </row>
    <row r="215">
      <c r="A215" s="15" t="s">
        <v>128</v>
      </c>
      <c r="B215" s="14">
        <f>if(TTM!B215="","",iferror(max(min(TTM!B215,0.5),-0.5),""))</f>
        <v>-0.5</v>
      </c>
      <c r="C215" s="14">
        <f>if(TTM!C215="","",iferror(max(min(TTM!C215,0.5),-0.5),""))</f>
        <v>0.03557174367</v>
      </c>
      <c r="D215" s="14">
        <f>if(TTM!D215="","",iferror(max(min(TTM!D215,0.5),-0.5),""))</f>
        <v>0.04063060726</v>
      </c>
      <c r="E215" s="14">
        <f>if(TTM!E215="","",iferror(max(min(TTM!E215,0.5),-0.5),""))</f>
        <v>0.08056102827</v>
      </c>
      <c r="F215" s="14">
        <f>if(TTM!F215="","",iferror(max(min(TTM!F215,0.5),-0.5),""))</f>
        <v>-0.4657208049</v>
      </c>
      <c r="G215" s="14">
        <f>if(TTM!G215="","",iferror(max(min(TTM!G215,0.5),-0.5),""))</f>
        <v>-0.1120610105</v>
      </c>
      <c r="H215" s="14">
        <f>if(TTM!H215="","",iferror(max(min(TTM!H215,0.5),-0.5),""))</f>
        <v>-0.2282170656</v>
      </c>
      <c r="I215" s="14">
        <f>if(TTM!I215="","",iferror(max(min(TTM!I215,0.5),-0.5),""))</f>
        <v>-0.5</v>
      </c>
      <c r="J215" s="14">
        <f>if(TTM!J215="","",iferror(max(min(TTM!J215,0.5),-0.5),""))</f>
        <v>-0.2409100786</v>
      </c>
      <c r="K215" s="14" t="str">
        <f>if(TTM!K215="","",iferror(max(min(TTM!K215,0.5),-0.5),""))</f>
        <v/>
      </c>
      <c r="L215" s="14">
        <f>if(TTM!L215="","",iferror(max(min(TTM!L215,0.5),-0.5),""))</f>
        <v>-0.5</v>
      </c>
      <c r="M215" s="14" t="str">
        <f>if(TTM!M215="","",iferror(max(min(TTM!M215,0.5),-0.5),""))</f>
        <v/>
      </c>
      <c r="N215" s="14">
        <f>if(TTM!N215="","",iferror(max(min(TTM!N215,0.5),-0.5),""))</f>
        <v>-0.2362583493</v>
      </c>
      <c r="O215" s="14">
        <f>if(TTM!O215="","",iferror(max(min(TTM!O215,0.5),-0.5),""))</f>
        <v>-0.5</v>
      </c>
      <c r="P215" s="14">
        <f>if(TTM!P215="","",iferror(max(min(TTM!P215,0.5),-0.5),""))</f>
        <v>0.08771929825</v>
      </c>
      <c r="Q215" s="14" t="str">
        <f>if(TTM!Q215="","",iferror(max(min(TTM!Q215,0.5),-0.5),""))</f>
        <v/>
      </c>
      <c r="R215" s="14"/>
      <c r="S215" s="14">
        <f>if(TTM!S215="","",iferror(max(min(TTM!S215,0.5),-0.5),""))</f>
        <v>-0.1818171521</v>
      </c>
      <c r="T215" s="14">
        <f>if(TTM!T215="","",iferror(max(min(TTM!T215,0.5),-0.5),""))</f>
        <v>0.5</v>
      </c>
      <c r="U215" s="14">
        <f>if(TTM!U215="","",iferror(max(min(TTM!U215,0.5),-0.5),""))</f>
        <v>-0.5</v>
      </c>
      <c r="V215" s="14" t="str">
        <f>if(TTM!V215="","",iferror(max(min(TTM!V215,0.5),-0.5),""))</f>
        <v/>
      </c>
      <c r="W215" s="14" t="str">
        <f>if(TTM!W215="","",iferror(max(min(TTM!W215,0.5),-0.5),""))</f>
        <v/>
      </c>
      <c r="X215" s="14">
        <f>if(TTM!X215="","",iferror(max(min(TTM!X215,0.5),-0.5),""))</f>
        <v>-0.5</v>
      </c>
      <c r="Y215" s="14">
        <f>if(TTM!Y215="","",iferror(max(min(TTM!Y215,0.5),-0.5),""))</f>
        <v>-0.5</v>
      </c>
      <c r="Z215" s="14">
        <f>if(TTM!Z215="","",iferror(max(min(TTM!Z215,0.5),-0.5),""))</f>
        <v>-0.2636747558</v>
      </c>
      <c r="AA215" s="14">
        <f>if(TTM!AA215="","",iferror(max(min(TTM!AA215,0.5),-0.5),""))</f>
        <v>-0.02222492107</v>
      </c>
      <c r="AB215" s="14">
        <f>if(TTM!AB215="","",iferror(max(min(TTM!AB215,0.5),-0.5),""))</f>
        <v>-0.5</v>
      </c>
      <c r="AC215" s="14">
        <f>if(TTM!AC215="","",iferror(max(min(TTM!AC215,0.5),-0.5),""))</f>
        <v>-0.5</v>
      </c>
      <c r="AD215" s="12"/>
    </row>
    <row r="216">
      <c r="A216" s="15" t="s">
        <v>129</v>
      </c>
      <c r="B216" s="14">
        <f>if(TTM!B216="","",iferror(max(min(TTM!B216,0.5),-0.5),""))</f>
        <v>-0.2324915047</v>
      </c>
      <c r="C216" s="14">
        <f>if(TTM!C216="","",iferror(max(min(TTM!C216,0.5),-0.5),""))</f>
        <v>0.05453019567</v>
      </c>
      <c r="D216" s="14">
        <f>if(TTM!D216="","",iferror(max(min(TTM!D216,0.5),-0.5),""))</f>
        <v>0.1333729428</v>
      </c>
      <c r="E216" s="14">
        <f>if(TTM!E216="","",iferror(max(min(TTM!E216,0.5),-0.5),""))</f>
        <v>0.000369372102</v>
      </c>
      <c r="F216" s="14">
        <f>if(TTM!F216="","",iferror(max(min(TTM!F216,0.5),-0.5),""))</f>
        <v>-0.2903380606</v>
      </c>
      <c r="G216" s="14">
        <f>if(TTM!G216="","",iferror(max(min(TTM!G216,0.5),-0.5),""))</f>
        <v>0.02713278716</v>
      </c>
      <c r="H216" s="14">
        <f>if(TTM!H216="","",iferror(max(min(TTM!H216,0.5),-0.5),""))</f>
        <v>-0.1392233549</v>
      </c>
      <c r="I216" s="14">
        <f>if(TTM!I216="","",iferror(max(min(TTM!I216,0.5),-0.5),""))</f>
        <v>-0.4171427862</v>
      </c>
      <c r="J216" s="14">
        <f>if(TTM!J216="","",iferror(max(min(TTM!J216,0.5),-0.5),""))</f>
        <v>-0.2460424214</v>
      </c>
      <c r="K216" s="14" t="str">
        <f>if(TTM!K216="","",iferror(max(min(TTM!K216,0.5),-0.5),""))</f>
        <v/>
      </c>
      <c r="L216" s="14">
        <f>if(TTM!L216="","",iferror(max(min(TTM!L216,0.5),-0.5),""))</f>
        <v>-0.5</v>
      </c>
      <c r="M216" s="14" t="str">
        <f>if(TTM!M216="","",iferror(max(min(TTM!M216,0.5),-0.5),""))</f>
        <v/>
      </c>
      <c r="N216" s="14">
        <f>if(TTM!N216="","",iferror(max(min(TTM!N216,0.5),-0.5),""))</f>
        <v>-0.2181793968</v>
      </c>
      <c r="O216" s="14">
        <f>if(TTM!O216="","",iferror(max(min(TTM!O216,0.5),-0.5),""))</f>
        <v>-0.5</v>
      </c>
      <c r="P216" s="14">
        <f>if(TTM!P216="","",iferror(max(min(TTM!P216,0.5),-0.5),""))</f>
        <v>0.1626481124</v>
      </c>
      <c r="Q216" s="14" t="str">
        <f>if(TTM!Q216="","",iferror(max(min(TTM!Q216,0.5),-0.5),""))</f>
        <v/>
      </c>
      <c r="R216" s="14"/>
      <c r="S216" s="14">
        <f>if(TTM!S216="","",iferror(max(min(TTM!S216,0.5),-0.5),""))</f>
        <v>-0.09990183667</v>
      </c>
      <c r="T216" s="14">
        <f>if(TTM!T216="","",iferror(max(min(TTM!T216,0.5),-0.5),""))</f>
        <v>0.5</v>
      </c>
      <c r="U216" s="14">
        <f>if(TTM!U216="","",iferror(max(min(TTM!U216,0.5),-0.5),""))</f>
        <v>-0.4544793582</v>
      </c>
      <c r="V216" s="14" t="str">
        <f>if(TTM!V216="","",iferror(max(min(TTM!V216,0.5),-0.5),""))</f>
        <v/>
      </c>
      <c r="W216" s="14" t="str">
        <f>if(TTM!W216="","",iferror(max(min(TTM!W216,0.5),-0.5),""))</f>
        <v/>
      </c>
      <c r="X216" s="14">
        <f>if(TTM!X216="","",iferror(max(min(TTM!X216,0.5),-0.5),""))</f>
        <v>-0.4849852618</v>
      </c>
      <c r="Y216" s="14">
        <f>if(TTM!Y216="","",iferror(max(min(TTM!Y216,0.5),-0.5),""))</f>
        <v>-0.5</v>
      </c>
      <c r="Z216" s="14">
        <f>if(TTM!Z216="","",iferror(max(min(TTM!Z216,0.5),-0.5),""))</f>
        <v>-0.2053022392</v>
      </c>
      <c r="AA216" s="14">
        <f>if(TTM!AA216="","",iferror(max(min(TTM!AA216,0.5),-0.5),""))</f>
        <v>-0.003798485758</v>
      </c>
      <c r="AB216" s="14">
        <f>if(TTM!AB216="","",iferror(max(min(TTM!AB216,0.5),-0.5),""))</f>
        <v>-0.5</v>
      </c>
      <c r="AC216" s="14">
        <f>if(TTM!AC216="","",iferror(max(min(TTM!AC216,0.5),-0.5),""))</f>
        <v>-0.5</v>
      </c>
      <c r="AD216" s="12"/>
    </row>
    <row r="217">
      <c r="A217" s="15" t="s">
        <v>130</v>
      </c>
      <c r="B217" s="14">
        <f>if(TTM!B217="","",iferror(max(min(TTM!B217,0.5),-0.5),""))</f>
        <v>0.09480075239</v>
      </c>
      <c r="C217" s="14">
        <f>if(TTM!C217="","",iferror(max(min(TTM!C217,0.5),-0.5),""))</f>
        <v>0.03668471949</v>
      </c>
      <c r="D217" s="14">
        <f>if(TTM!D217="","",iferror(max(min(TTM!D217,0.5),-0.5),""))</f>
        <v>0.16065937</v>
      </c>
      <c r="E217" s="14">
        <f>if(TTM!E217="","",iferror(max(min(TTM!E217,0.5),-0.5),""))</f>
        <v>-0.1548289732</v>
      </c>
      <c r="F217" s="14">
        <f>if(TTM!F217="","",iferror(max(min(TTM!F217,0.5),-0.5),""))</f>
        <v>-0.126704659</v>
      </c>
      <c r="G217" s="14">
        <f>if(TTM!G217="","",iferror(max(min(TTM!G217,0.5),-0.5),""))</f>
        <v>0.06811018987</v>
      </c>
      <c r="H217" s="14">
        <f>if(TTM!H217="","",iferror(max(min(TTM!H217,0.5),-0.5),""))</f>
        <v>-0.0250259362</v>
      </c>
      <c r="I217" s="14">
        <f>if(TTM!I217="","",iferror(max(min(TTM!I217,0.5),-0.5),""))</f>
        <v>-0.2637347849</v>
      </c>
      <c r="J217" s="14">
        <f>if(TTM!J217="","",iferror(max(min(TTM!J217,0.5),-0.5),""))</f>
        <v>-0.2528681274</v>
      </c>
      <c r="K217" s="14">
        <f>if(TTM!K217="","",iferror(max(min(TTM!K217,0.5),-0.5),""))</f>
        <v>-0.02891681437</v>
      </c>
      <c r="L217" s="14">
        <f>if(TTM!L217="","",iferror(max(min(TTM!L217,0.5),-0.5),""))</f>
        <v>-0.3651011279</v>
      </c>
      <c r="M217" s="14">
        <f>if(TTM!M217="","",iferror(max(min(TTM!M217,0.5),-0.5),""))</f>
        <v>-0.2406015038</v>
      </c>
      <c r="N217" s="14">
        <f>if(TTM!N217="","",iferror(max(min(TTM!N217,0.5),-0.5),""))</f>
        <v>-0.02171765328</v>
      </c>
      <c r="O217" s="14">
        <f>if(TTM!O217="","",iferror(max(min(TTM!O217,0.5),-0.5),""))</f>
        <v>-0.5</v>
      </c>
      <c r="P217" s="14">
        <f>if(TTM!P217="","",iferror(max(min(TTM!P217,0.5),-0.5),""))</f>
        <v>0.2375769266</v>
      </c>
      <c r="Q217" s="14" t="str">
        <f>if(TTM!Q217="","",iferror(max(min(TTM!Q217,0.5),-0.5),""))</f>
        <v/>
      </c>
      <c r="R217" s="14"/>
      <c r="S217" s="14">
        <f>if(TTM!S217="","",iferror(max(min(TTM!S217,0.5),-0.5),""))</f>
        <v>-0.08650155778</v>
      </c>
      <c r="T217" s="14">
        <f>if(TTM!T217="","",iferror(max(min(TTM!T217,0.5),-0.5),""))</f>
        <v>0.5</v>
      </c>
      <c r="U217" s="14">
        <f>if(TTM!U217="","",iferror(max(min(TTM!U217,0.5),-0.5),""))</f>
        <v>-0.2415802999</v>
      </c>
      <c r="V217" s="14" t="str">
        <f>if(TTM!V217="","",iferror(max(min(TTM!V217,0.5),-0.5),""))</f>
        <v/>
      </c>
      <c r="W217" s="14" t="str">
        <f>if(TTM!W217="","",iferror(max(min(TTM!W217,0.5),-0.5),""))</f>
        <v/>
      </c>
      <c r="X217" s="14">
        <f>if(TTM!X217="","",iferror(max(min(TTM!X217,0.5),-0.5),""))</f>
        <v>-0.465563347</v>
      </c>
      <c r="Y217" s="14">
        <f>if(TTM!Y217="","",iferror(max(min(TTM!Y217,0.5),-0.5),""))</f>
        <v>-0.5</v>
      </c>
      <c r="Z217" s="14">
        <f>if(TTM!Z217="","",iferror(max(min(TTM!Z217,0.5),-0.5),""))</f>
        <v>-0.06635400812</v>
      </c>
      <c r="AA217" s="14">
        <f>if(TTM!AA217="","",iferror(max(min(TTM!AA217,0.5),-0.5),""))</f>
        <v>0.007344977722</v>
      </c>
      <c r="AB217" s="14">
        <f>if(TTM!AB217="","",iferror(max(min(TTM!AB217,0.5),-0.5),""))</f>
        <v>-0.5</v>
      </c>
      <c r="AC217" s="14">
        <f>if(TTM!AC217="","",iferror(max(min(TTM!AC217,0.5),-0.5),""))</f>
        <v>-0.5</v>
      </c>
      <c r="AD217" s="12"/>
    </row>
    <row r="218">
      <c r="A218" s="15" t="s">
        <v>131</v>
      </c>
      <c r="B218" s="14">
        <f>if(TTM!B218="","",iferror(max(min(TTM!B218,0.5),-0.5),""))</f>
        <v>0.1509897764</v>
      </c>
      <c r="C218" s="14">
        <f>if(TTM!C218="","",iferror(max(min(TTM!C218,0.5),-0.5),""))</f>
        <v>0.1080346544</v>
      </c>
      <c r="D218" s="14">
        <f>if(TTM!D218="","",iferror(max(min(TTM!D218,0.5),-0.5),""))</f>
        <v>0.1857814793</v>
      </c>
      <c r="E218" s="14">
        <f>if(TTM!E218="","",iferror(max(min(TTM!E218,0.5),-0.5),""))</f>
        <v>-0.1042073231</v>
      </c>
      <c r="F218" s="14">
        <f>if(TTM!F218="","",iferror(max(min(TTM!F218,0.5),-0.5),""))</f>
        <v>-0.04599390848</v>
      </c>
      <c r="G218" s="14">
        <f>if(TTM!G218="","",iferror(max(min(TTM!G218,0.5),-0.5),""))</f>
        <v>-0.02611220254</v>
      </c>
      <c r="H218" s="14">
        <f>if(TTM!H218="","",iferror(max(min(TTM!H218,0.5),-0.5),""))</f>
        <v>-0.01276359709</v>
      </c>
      <c r="I218" s="14">
        <f>if(TTM!I218="","",iferror(max(min(TTM!I218,0.5),-0.5),""))</f>
        <v>-0.1361439431</v>
      </c>
      <c r="J218" s="14">
        <f>if(TTM!J218="","",iferror(max(min(TTM!J218,0.5),-0.5),""))</f>
        <v>-0.08027197994</v>
      </c>
      <c r="K218" s="14">
        <f>if(TTM!K218="","",iferror(max(min(TTM!K218,0.5),-0.5),""))</f>
        <v>-0.002165260884</v>
      </c>
      <c r="L218" s="14">
        <f>if(TTM!L218="","",iferror(max(min(TTM!L218,0.5),-0.5),""))</f>
        <v>-0.3053802025</v>
      </c>
      <c r="M218" s="14">
        <f>if(TTM!M218="","",iferror(max(min(TTM!M218,0.5),-0.5),""))</f>
        <v>-0.3365507519</v>
      </c>
      <c r="N218" s="14">
        <f>if(TTM!N218="","",iferror(max(min(TTM!N218,0.5),-0.5),""))</f>
        <v>0.1589501541</v>
      </c>
      <c r="O218" s="14">
        <f>if(TTM!O218="","",iferror(max(min(TTM!O218,0.5),-0.5),""))</f>
        <v>-0.5</v>
      </c>
      <c r="P218" s="14">
        <f>if(TTM!P218="","",iferror(max(min(TTM!P218,0.5),-0.5),""))</f>
        <v>0.3189289553</v>
      </c>
      <c r="Q218" s="14" t="str">
        <f>if(TTM!Q218="","",iferror(max(min(TTM!Q218,0.5),-0.5),""))</f>
        <v/>
      </c>
      <c r="R218" s="14"/>
      <c r="S218" s="14">
        <f>if(TTM!S218="","",iferror(max(min(TTM!S218,0.5),-0.5),""))</f>
        <v>-0.07310127888</v>
      </c>
      <c r="T218" s="14">
        <f>if(TTM!T218="","",iferror(max(min(TTM!T218,0.5),-0.5),""))</f>
        <v>0.5</v>
      </c>
      <c r="U218" s="14">
        <f>if(TTM!U218="","",iferror(max(min(TTM!U218,0.5),-0.5),""))</f>
        <v>-0.1768561321</v>
      </c>
      <c r="V218" s="14" t="str">
        <f>if(TTM!V218="","",iferror(max(min(TTM!V218,0.5),-0.5),""))</f>
        <v/>
      </c>
      <c r="W218" s="14" t="str">
        <f>if(TTM!W218="","",iferror(max(min(TTM!W218,0.5),-0.5),""))</f>
        <v/>
      </c>
      <c r="X218" s="14">
        <f>if(TTM!X218="","",iferror(max(min(TTM!X218,0.5),-0.5),""))</f>
        <v>-0.4461414322</v>
      </c>
      <c r="Y218" s="14">
        <f>if(TTM!Y218="","",iferror(max(min(TTM!Y218,0.5),-0.5),""))</f>
        <v>-0.3461893396</v>
      </c>
      <c r="Z218" s="14">
        <f>if(TTM!Z218="","",iferror(max(min(TTM!Z218,0.5),-0.5),""))</f>
        <v>0.07259422299</v>
      </c>
      <c r="AA218" s="14">
        <f>if(TTM!AA218="","",iferror(max(min(TTM!AA218,0.5),-0.5),""))</f>
        <v>0.0184884412</v>
      </c>
      <c r="AB218" s="14">
        <f>if(TTM!AB218="","",iferror(max(min(TTM!AB218,0.5),-0.5),""))</f>
        <v>-0.5</v>
      </c>
      <c r="AC218" s="14">
        <f>if(TTM!AC218="","",iferror(max(min(TTM!AC218,0.5),-0.5),""))</f>
        <v>-0.5</v>
      </c>
      <c r="AD218" s="12"/>
    </row>
    <row r="219">
      <c r="A219" s="15" t="s">
        <v>132</v>
      </c>
      <c r="B219" s="14">
        <f>if(TTM!B219="","",iferror(max(min(TTM!B219,0.5),-0.5),""))</f>
        <v>0.1660293982</v>
      </c>
      <c r="C219" s="14">
        <f>if(TTM!C219="","",iferror(max(min(TTM!C219,0.5),-0.5),""))</f>
        <v>0.1461686592</v>
      </c>
      <c r="D219" s="14">
        <f>if(TTM!D219="","",iferror(max(min(TTM!D219,0.5),-0.5),""))</f>
        <v>0.1873250946</v>
      </c>
      <c r="E219" s="14">
        <f>if(TTM!E219="","",iferror(max(min(TTM!E219,0.5),-0.5),""))</f>
        <v>-0.04265572165</v>
      </c>
      <c r="F219" s="14">
        <f>if(TTM!F219="","",iferror(max(min(TTM!F219,0.5),-0.5),""))</f>
        <v>-0.01470009282</v>
      </c>
      <c r="G219" s="14">
        <f>if(TTM!G219="","",iferror(max(min(TTM!G219,0.5),-0.5),""))</f>
        <v>-0.1413319794</v>
      </c>
      <c r="H219" s="14">
        <f>if(TTM!H219="","",iferror(max(min(TTM!H219,0.5),-0.5),""))</f>
        <v>-0.009456032727</v>
      </c>
      <c r="I219" s="14">
        <f>if(TTM!I219="","",iferror(max(min(TTM!I219,0.5),-0.5),""))</f>
        <v>-0.08351072164</v>
      </c>
      <c r="J219" s="14">
        <f>if(TTM!J219="","",iferror(max(min(TTM!J219,0.5),-0.5),""))</f>
        <v>-0.06210399076</v>
      </c>
      <c r="K219" s="14">
        <f>if(TTM!K219="","",iferror(max(min(TTM!K219,0.5),-0.5),""))</f>
        <v>0.0245862926</v>
      </c>
      <c r="L219" s="14">
        <f>if(TTM!L219="","",iferror(max(min(TTM!L219,0.5),-0.5),""))</f>
        <v>-0.1558560444</v>
      </c>
      <c r="M219" s="14">
        <f>if(TTM!M219="","",iferror(max(min(TTM!M219,0.5),-0.5),""))</f>
        <v>-0.2506297942</v>
      </c>
      <c r="N219" s="14">
        <f>if(TTM!N219="","",iferror(max(min(TTM!N219,0.5),-0.5),""))</f>
        <v>0.2392306438</v>
      </c>
      <c r="O219" s="14">
        <f>if(TTM!O219="","",iferror(max(min(TTM!O219,0.5),-0.5),""))</f>
        <v>-0.1784160533</v>
      </c>
      <c r="P219" s="14">
        <f>if(TTM!P219="","",iferror(max(min(TTM!P219,0.5),-0.5),""))</f>
        <v>0.4002809841</v>
      </c>
      <c r="Q219" s="14" t="str">
        <f>if(TTM!Q219="","",iferror(max(min(TTM!Q219,0.5),-0.5),""))</f>
        <v/>
      </c>
      <c r="R219" s="14"/>
      <c r="S219" s="14">
        <f>if(TTM!S219="","",iferror(max(min(TTM!S219,0.5),-0.5),""))</f>
        <v>-0.05970099998</v>
      </c>
      <c r="T219" s="14">
        <f>if(TTM!T219="","",iferror(max(min(TTM!T219,0.5),-0.5),""))</f>
        <v>0.5</v>
      </c>
      <c r="U219" s="14">
        <f>if(TTM!U219="","",iferror(max(min(TTM!U219,0.5),-0.5),""))</f>
        <v>-0.1192160066</v>
      </c>
      <c r="V219" s="14" t="str">
        <f>if(TTM!V219="","",iferror(max(min(TTM!V219,0.5),-0.5),""))</f>
        <v/>
      </c>
      <c r="W219" s="14" t="str">
        <f>if(TTM!W219="","",iferror(max(min(TTM!W219,0.5),-0.5),""))</f>
        <v/>
      </c>
      <c r="X219" s="14">
        <f>if(TTM!X219="","",iferror(max(min(TTM!X219,0.5),-0.5),""))</f>
        <v>-0.3597849755</v>
      </c>
      <c r="Y219" s="14">
        <f>if(TTM!Y219="","",iferror(max(min(TTM!Y219,0.5),-0.5),""))</f>
        <v>-0.117493127</v>
      </c>
      <c r="Z219" s="14">
        <f>if(TTM!Z219="","",iferror(max(min(TTM!Z219,0.5),-0.5),""))</f>
        <v>0.2115424541</v>
      </c>
      <c r="AA219" s="14">
        <f>if(TTM!AA219="","",iferror(max(min(TTM!AA219,0.5),-0.5),""))</f>
        <v>0.02963190468</v>
      </c>
      <c r="AB219" s="14">
        <f>if(TTM!AB219="","",iferror(max(min(TTM!AB219,0.5),-0.5),""))</f>
        <v>-0.5</v>
      </c>
      <c r="AC219" s="14">
        <f>if(TTM!AC219="","",iferror(max(min(TTM!AC219,0.5),-0.5),""))</f>
        <v>-0.5</v>
      </c>
      <c r="AD219" s="12"/>
    </row>
    <row r="220">
      <c r="A220" s="15" t="s">
        <v>133</v>
      </c>
      <c r="B220" s="14">
        <f>if(TTM!B220="","",iferror(max(min(TTM!B220,0.5),-0.5),""))</f>
        <v>0.1994610571</v>
      </c>
      <c r="C220" s="14">
        <f>if(TTM!C220="","",iferror(max(min(TTM!C220,0.5),-0.5),""))</f>
        <v>0.1673870135</v>
      </c>
      <c r="D220" s="14">
        <f>if(TTM!D220="","",iferror(max(min(TTM!D220,0.5),-0.5),""))</f>
        <v>0.1778449573</v>
      </c>
      <c r="E220" s="14">
        <f>if(TTM!E220="","",iferror(max(min(TTM!E220,0.5),-0.5),""))</f>
        <v>0.1228274579</v>
      </c>
      <c r="F220" s="14">
        <f>if(TTM!F220="","",iferror(max(min(TTM!F220,0.5),-0.5),""))</f>
        <v>0.02275565887</v>
      </c>
      <c r="G220" s="14">
        <f>if(TTM!G220="","",iferror(max(min(TTM!G220,0.5),-0.5),""))</f>
        <v>-0.1732636753</v>
      </c>
      <c r="H220" s="14">
        <f>if(TTM!H220="","",iferror(max(min(TTM!H220,0.5),-0.5),""))</f>
        <v>0.0136192221</v>
      </c>
      <c r="I220" s="14">
        <f>if(TTM!I220="","",iferror(max(min(TTM!I220,0.5),-0.5),""))</f>
        <v>-0.08877851006</v>
      </c>
      <c r="J220" s="14">
        <f>if(TTM!J220="","",iferror(max(min(TTM!J220,0.5),-0.5),""))</f>
        <v>-0.04156815314</v>
      </c>
      <c r="K220" s="14">
        <f>if(TTM!K220="","",iferror(max(min(TTM!K220,0.5),-0.5),""))</f>
        <v>0.05133784609</v>
      </c>
      <c r="L220" s="14">
        <f>if(TTM!L220="","",iferror(max(min(TTM!L220,0.5),-0.5),""))</f>
        <v>-0.09468162767</v>
      </c>
      <c r="M220" s="14">
        <f>if(TTM!M220="","",iferror(max(min(TTM!M220,0.5),-0.5),""))</f>
        <v>-0.1938419109</v>
      </c>
      <c r="N220" s="14">
        <f>if(TTM!N220="","",iferror(max(min(TTM!N220,0.5),-0.5),""))</f>
        <v>0.199240582</v>
      </c>
      <c r="O220" s="14">
        <f>if(TTM!O220="","",iferror(max(min(TTM!O220,0.5),-0.5),""))</f>
        <v>-0.06388220209</v>
      </c>
      <c r="P220" s="14">
        <f>if(TTM!P220="","",iferror(max(min(TTM!P220,0.5),-0.5),""))</f>
        <v>0.401636631</v>
      </c>
      <c r="Q220" s="14" t="str">
        <f>if(TTM!Q220="","",iferror(max(min(TTM!Q220,0.5),-0.5),""))</f>
        <v/>
      </c>
      <c r="R220" s="14"/>
      <c r="S220" s="14">
        <f>if(TTM!S220="","",iferror(max(min(TTM!S220,0.5),-0.5),""))</f>
        <v>-0.04630072108</v>
      </c>
      <c r="T220" s="14">
        <f>if(TTM!T220="","",iferror(max(min(TTM!T220,0.5),-0.5),""))</f>
        <v>0.4801926277</v>
      </c>
      <c r="U220" s="14">
        <f>if(TTM!U220="","",iferror(max(min(TTM!U220,0.5),-0.5),""))</f>
        <v>-0.120990078</v>
      </c>
      <c r="V220" s="14" t="str">
        <f>if(TTM!V220="","",iferror(max(min(TTM!V220,0.5),-0.5),""))</f>
        <v/>
      </c>
      <c r="W220" s="14" t="str">
        <f>if(TTM!W220="","",iferror(max(min(TTM!W220,0.5),-0.5),""))</f>
        <v/>
      </c>
      <c r="X220" s="14">
        <f>if(TTM!X220="","",iferror(max(min(TTM!X220,0.5),-0.5),""))</f>
        <v>-0.2734285188</v>
      </c>
      <c r="Y220" s="14">
        <f>if(TTM!Y220="","",iferror(max(min(TTM!Y220,0.5),-0.5),""))</f>
        <v>0.1112030856</v>
      </c>
      <c r="Z220" s="14">
        <f>if(TTM!Z220="","",iferror(max(min(TTM!Z220,0.5),-0.5),""))</f>
        <v>0.3504906852</v>
      </c>
      <c r="AA220" s="14">
        <f>if(TTM!AA220="","",iferror(max(min(TTM!AA220,0.5),-0.5),""))</f>
        <v>0.04077536816</v>
      </c>
      <c r="AB220" s="14">
        <f>if(TTM!AB220="","",iferror(max(min(TTM!AB220,0.5),-0.5),""))</f>
        <v>-0.5</v>
      </c>
      <c r="AC220" s="14">
        <f>if(TTM!AC220="","",iferror(max(min(TTM!AC220,0.5),-0.5),""))</f>
        <v>-0.4243011482</v>
      </c>
      <c r="AD220" s="12"/>
    </row>
    <row r="221">
      <c r="A221" s="15" t="s">
        <v>134</v>
      </c>
      <c r="B221" s="14">
        <f>if(TTM!B221="","",iferror(max(min(TTM!B221,0.5),-0.5),""))</f>
        <v>0.2186775296</v>
      </c>
      <c r="C221" s="14">
        <f>if(TTM!C221="","",iferror(max(min(TTM!C221,0.5),-0.5),""))</f>
        <v>0.266194262</v>
      </c>
      <c r="D221" s="14">
        <f>if(TTM!D221="","",iferror(max(min(TTM!D221,0.5),-0.5),""))</f>
        <v>0.1877534261</v>
      </c>
      <c r="E221" s="14">
        <f>if(TTM!E221="","",iferror(max(min(TTM!E221,0.5),-0.5),""))</f>
        <v>0.2765337852</v>
      </c>
      <c r="F221" s="14">
        <f>if(TTM!F221="","",iferror(max(min(TTM!F221,0.5),-0.5),""))</f>
        <v>0.04413639178</v>
      </c>
      <c r="G221" s="14">
        <f>if(TTM!G221="","",iferror(max(min(TTM!G221,0.5),-0.5),""))</f>
        <v>-0.1268513743</v>
      </c>
      <c r="H221" s="14">
        <f>if(TTM!H221="","",iferror(max(min(TTM!H221,0.5),-0.5),""))</f>
        <v>0.04202108931</v>
      </c>
      <c r="I221" s="14">
        <f>if(TTM!I221="","",iferror(max(min(TTM!I221,0.5),-0.5),""))</f>
        <v>-0.0708876306</v>
      </c>
      <c r="J221" s="14">
        <f>if(TTM!J221="","",iferror(max(min(TTM!J221,0.5),-0.5),""))</f>
        <v>-0.02267541869</v>
      </c>
      <c r="K221" s="14">
        <f>if(TTM!K221="","",iferror(max(min(TTM!K221,0.5),-0.5),""))</f>
        <v>0.07972266862</v>
      </c>
      <c r="L221" s="14">
        <f>if(TTM!L221="","",iferror(max(min(TTM!L221,0.5),-0.5),""))</f>
        <v>0.0467733909</v>
      </c>
      <c r="M221" s="14">
        <f>if(TTM!M221="","",iferror(max(min(TTM!M221,0.5),-0.5),""))</f>
        <v>-0.1332264328</v>
      </c>
      <c r="N221" s="14">
        <f>if(TTM!N221="","",iferror(max(min(TTM!N221,0.5),-0.5),""))</f>
        <v>0.1943752839</v>
      </c>
      <c r="O221" s="14">
        <f>if(TTM!O221="","",iferror(max(min(TTM!O221,0.5),-0.5),""))</f>
        <v>0.05065164912</v>
      </c>
      <c r="P221" s="14">
        <f>if(TTM!P221="","",iferror(max(min(TTM!P221,0.5),-0.5),""))</f>
        <v>0.402992278</v>
      </c>
      <c r="Q221" s="14" t="str">
        <f>if(TTM!Q221="","",iferror(max(min(TTM!Q221,0.5),-0.5),""))</f>
        <v/>
      </c>
      <c r="R221" s="14"/>
      <c r="S221" s="14">
        <f>if(TTM!S221="","",iferror(max(min(TTM!S221,0.5),-0.5),""))</f>
        <v>-0.008631264717</v>
      </c>
      <c r="T221" s="14">
        <f>if(TTM!T221="","",iferror(max(min(TTM!T221,0.5),-0.5),""))</f>
        <v>0.4454835756</v>
      </c>
      <c r="U221" s="14">
        <f>if(TTM!U221="","",iferror(max(min(TTM!U221,0.5),-0.5),""))</f>
        <v>-0.06994819671</v>
      </c>
      <c r="V221" s="14" t="str">
        <f>if(TTM!V221="","",iferror(max(min(TTM!V221,0.5),-0.5),""))</f>
        <v/>
      </c>
      <c r="W221" s="14" t="str">
        <f>if(TTM!W221="","",iferror(max(min(TTM!W221,0.5),-0.5),""))</f>
        <v/>
      </c>
      <c r="X221" s="14">
        <f>if(TTM!X221="","",iferror(max(min(TTM!X221,0.5),-0.5),""))</f>
        <v>-0.1870720622</v>
      </c>
      <c r="Y221" s="14">
        <f>if(TTM!Y221="","",iferror(max(min(TTM!Y221,0.5),-0.5),""))</f>
        <v>0.1515471893</v>
      </c>
      <c r="Z221" s="14">
        <f>if(TTM!Z221="","",iferror(max(min(TTM!Z221,0.5),-0.5),""))</f>
        <v>0.3525132056</v>
      </c>
      <c r="AA221" s="14">
        <f>if(TTM!AA221="","",iferror(max(min(TTM!AA221,0.5),-0.5),""))</f>
        <v>0.05504936398</v>
      </c>
      <c r="AB221" s="14" t="str">
        <f>if(TTM!AB221="","",iferror(max(min(TTM!AB221,0.5),-0.5),""))</f>
        <v/>
      </c>
      <c r="AC221" s="14">
        <f>if(TTM!AC221="","",iferror(max(min(TTM!AC221,0.5),-0.5),""))</f>
        <v>-0.308278847</v>
      </c>
      <c r="AD221" s="12"/>
    </row>
    <row r="222">
      <c r="A222" s="15" t="s">
        <v>135</v>
      </c>
      <c r="B222" s="14">
        <f>if(TTM!B222="","",iferror(max(min(TTM!B222,0.5),-0.5),""))</f>
        <v>0.241193527</v>
      </c>
      <c r="C222" s="14">
        <f>if(TTM!C222="","",iferror(max(min(TTM!C222,0.5),-0.5),""))</f>
        <v>0.2736468194</v>
      </c>
      <c r="D222" s="14">
        <f>if(TTM!D222="","",iferror(max(min(TTM!D222,0.5),-0.5),""))</f>
        <v>0.2033713258</v>
      </c>
      <c r="E222" s="14">
        <f>if(TTM!E222="","",iferror(max(min(TTM!E222,0.5),-0.5),""))</f>
        <v>0.2673671239</v>
      </c>
      <c r="F222" s="14">
        <f>if(TTM!F222="","",iferror(max(min(TTM!F222,0.5),-0.5),""))</f>
        <v>0.03462901792</v>
      </c>
      <c r="G222" s="14">
        <f>if(TTM!G222="","",iferror(max(min(TTM!G222,0.5),-0.5),""))</f>
        <v>-0.004267220091</v>
      </c>
      <c r="H222" s="14">
        <f>if(TTM!H222="","",iferror(max(min(TTM!H222,0.5),-0.5),""))</f>
        <v>0.08479216709</v>
      </c>
      <c r="I222" s="14">
        <f>if(TTM!I222="","",iferror(max(min(TTM!I222,0.5),-0.5),""))</f>
        <v>-0.02647677501</v>
      </c>
      <c r="J222" s="14">
        <f>if(TTM!J222="","",iferror(max(min(TTM!J222,0.5),-0.5),""))</f>
        <v>0.01867505514</v>
      </c>
      <c r="K222" s="14">
        <f>if(TTM!K222="","",iferror(max(min(TTM!K222,0.5),-0.5),""))</f>
        <v>0.07569036932</v>
      </c>
      <c r="L222" s="14">
        <f>if(TTM!L222="","",iferror(max(min(TTM!L222,0.5),-0.5),""))</f>
        <v>0.17122296</v>
      </c>
      <c r="M222" s="14">
        <f>if(TTM!M222="","",iferror(max(min(TTM!M222,0.5),-0.5),""))</f>
        <v>0.0025867392</v>
      </c>
      <c r="N222" s="14">
        <f>if(TTM!N222="","",iferror(max(min(TTM!N222,0.5),-0.5),""))</f>
        <v>0.1427411754</v>
      </c>
      <c r="O222" s="14">
        <f>if(TTM!O222="","",iferror(max(min(TTM!O222,0.5),-0.5),""))</f>
        <v>0.09938242936</v>
      </c>
      <c r="P222" s="14">
        <f>if(TTM!P222="","",iferror(max(min(TTM!P222,0.5),-0.5),""))</f>
        <v>0.3912404794</v>
      </c>
      <c r="Q222" s="14" t="str">
        <f>if(TTM!Q222="","",iferror(max(min(TTM!Q222,0.5),-0.5),""))</f>
        <v/>
      </c>
      <c r="R222" s="14"/>
      <c r="S222" s="14">
        <f>if(TTM!S222="","",iferror(max(min(TTM!S222,0.5),-0.5),""))</f>
        <v>0.04584820598</v>
      </c>
      <c r="T222" s="14">
        <f>if(TTM!T222="","",iferror(max(min(TTM!T222,0.5),-0.5),""))</f>
        <v>0.4008062224</v>
      </c>
      <c r="U222" s="14">
        <f>if(TTM!U222="","",iferror(max(min(TTM!U222,0.5),-0.5),""))</f>
        <v>-0.07275056557</v>
      </c>
      <c r="V222" s="14" t="str">
        <f>if(TTM!V222="","",iferror(max(min(TTM!V222,0.5),-0.5),""))</f>
        <v/>
      </c>
      <c r="W222" s="14" t="str">
        <f>if(TTM!W222="","",iferror(max(min(TTM!W222,0.5),-0.5),""))</f>
        <v/>
      </c>
      <c r="X222" s="14">
        <f>if(TTM!X222="","",iferror(max(min(TTM!X222,0.5),-0.5),""))</f>
        <v>-0.1007156055</v>
      </c>
      <c r="Y222" s="14">
        <f>if(TTM!Y222="","",iferror(max(min(TTM!Y222,0.5),-0.5),""))</f>
        <v>0.191891293</v>
      </c>
      <c r="Z222" s="14">
        <f>if(TTM!Z222="","",iferror(max(min(TTM!Z222,0.5),-0.5),""))</f>
        <v>0.3545357259</v>
      </c>
      <c r="AA222" s="14">
        <f>if(TTM!AA222="","",iferror(max(min(TTM!AA222,0.5),-0.5),""))</f>
        <v>0.0693233598</v>
      </c>
      <c r="AB222" s="14" t="str">
        <f>if(TTM!AB222="","",iferror(max(min(TTM!AB222,0.5),-0.5),""))</f>
        <v/>
      </c>
      <c r="AC222" s="14">
        <f>if(TTM!AC222="","",iferror(max(min(TTM!AC222,0.5),-0.5),""))</f>
        <v>-0.1922565458</v>
      </c>
      <c r="AD222" s="12"/>
    </row>
    <row r="223">
      <c r="A223" s="15" t="s">
        <v>136</v>
      </c>
      <c r="B223" s="14">
        <f>if(TTM!B223="","",iferror(max(min(TTM!B223,0.5),-0.5),""))</f>
        <v>0.2546926872</v>
      </c>
      <c r="C223" s="14">
        <f>if(TTM!C223="","",iferror(max(min(TTM!C223,0.5),-0.5),""))</f>
        <v>0.290999337</v>
      </c>
      <c r="D223" s="14">
        <f>if(TTM!D223="","",iferror(max(min(TTM!D223,0.5),-0.5),""))</f>
        <v>0.2085562534</v>
      </c>
      <c r="E223" s="14">
        <f>if(TTM!E223="","",iferror(max(min(TTM!E223,0.5),-0.5),""))</f>
        <v>0.3334449804</v>
      </c>
      <c r="F223" s="14">
        <f>if(TTM!F223="","",iferror(max(min(TTM!F223,0.5),-0.5),""))</f>
        <v>0.03087871646</v>
      </c>
      <c r="G223" s="14">
        <f>if(TTM!G223="","",iferror(max(min(TTM!G223,0.5),-0.5),""))</f>
        <v>-0.194119253</v>
      </c>
      <c r="H223" s="14">
        <f>if(TTM!H223="","",iferror(max(min(TTM!H223,0.5),-0.5),""))</f>
        <v>0.09728447339</v>
      </c>
      <c r="I223" s="14">
        <f>if(TTM!I223="","",iferror(max(min(TTM!I223,0.5),-0.5),""))</f>
        <v>0.01455007208</v>
      </c>
      <c r="J223" s="14">
        <f>if(TTM!J223="","",iferror(max(min(TTM!J223,0.5),-0.5),""))</f>
        <v>0.03556848818</v>
      </c>
      <c r="K223" s="14">
        <f>if(TTM!K223="","",iferror(max(min(TTM!K223,0.5),-0.5),""))</f>
        <v>0.05211163035</v>
      </c>
      <c r="L223" s="14">
        <f>if(TTM!L223="","",iferror(max(min(TTM!L223,0.5),-0.5),""))</f>
        <v>0.1307556939</v>
      </c>
      <c r="M223" s="14">
        <f>if(TTM!M223="","",iferror(max(min(TTM!M223,0.5),-0.5),""))</f>
        <v>0.05613538354</v>
      </c>
      <c r="N223" s="14">
        <f>if(TTM!N223="","",iferror(max(min(TTM!N223,0.5),-0.5),""))</f>
        <v>0.1001825942</v>
      </c>
      <c r="O223" s="14">
        <f>if(TTM!O223="","",iferror(max(min(TTM!O223,0.5),-0.5),""))</f>
        <v>0.1481132096</v>
      </c>
      <c r="P223" s="14">
        <f>if(TTM!P223="","",iferror(max(min(TTM!P223,0.5),-0.5),""))</f>
        <v>0.3794886807</v>
      </c>
      <c r="Q223" s="14" t="str">
        <f>if(TTM!Q223="","",iferror(max(min(TTM!Q223,0.5),-0.5),""))</f>
        <v/>
      </c>
      <c r="R223" s="14"/>
      <c r="S223" s="14">
        <f>if(TTM!S223="","",iferror(max(min(TTM!S223,0.5),-0.5),""))</f>
        <v>0.09576694454</v>
      </c>
      <c r="T223" s="14">
        <f>if(TTM!T223="","",iferror(max(min(TTM!T223,0.5),-0.5),""))</f>
        <v>0.4455104014</v>
      </c>
      <c r="U223" s="14">
        <f>if(TTM!U223="","",iferror(max(min(TTM!U223,0.5),-0.5),""))</f>
        <v>-0.1234673438</v>
      </c>
      <c r="V223" s="14" t="str">
        <f>if(TTM!V223="","",iferror(max(min(TTM!V223,0.5),-0.5),""))</f>
        <v/>
      </c>
      <c r="W223" s="14" t="str">
        <f>if(TTM!W223="","",iferror(max(min(TTM!W223,0.5),-0.5),""))</f>
        <v/>
      </c>
      <c r="X223" s="14">
        <f>if(TTM!X223="","",iferror(max(min(TTM!X223,0.5),-0.5),""))</f>
        <v>-0.05129556673</v>
      </c>
      <c r="Y223" s="14">
        <f>if(TTM!Y223="","",iferror(max(min(TTM!Y223,0.5),-0.5),""))</f>
        <v>0.2322353967</v>
      </c>
      <c r="Z223" s="14">
        <f>if(TTM!Z223="","",iferror(max(min(TTM!Z223,0.5),-0.5),""))</f>
        <v>0.3565582462</v>
      </c>
      <c r="AA223" s="14">
        <f>if(TTM!AA223="","",iferror(max(min(TTM!AA223,0.5),-0.5),""))</f>
        <v>0.08359735562</v>
      </c>
      <c r="AB223" s="14" t="str">
        <f>if(TTM!AB223="","",iferror(max(min(TTM!AB223,0.5),-0.5),""))</f>
        <v/>
      </c>
      <c r="AC223" s="14">
        <f>if(TTM!AC223="","",iferror(max(min(TTM!AC223,0.5),-0.5),""))</f>
        <v>-0.07623424465</v>
      </c>
      <c r="AD223" s="12"/>
    </row>
    <row r="224">
      <c r="A224" s="15" t="s">
        <v>137</v>
      </c>
      <c r="B224" s="14">
        <f>if(TTM!B224="","",iferror(max(min(TTM!B224,0.5),-0.5),""))</f>
        <v>0.1663076025</v>
      </c>
      <c r="C224" s="14">
        <f>if(TTM!C224="","",iferror(max(min(TTM!C224,0.5),-0.5),""))</f>
        <v>0.2228254139</v>
      </c>
      <c r="D224" s="14">
        <f>if(TTM!D224="","",iferror(max(min(TTM!D224,0.5),-0.5),""))</f>
        <v>0.2137539429</v>
      </c>
      <c r="E224" s="14">
        <f>if(TTM!E224="","",iferror(max(min(TTM!E224,0.5),-0.5),""))</f>
        <v>0.2410714293</v>
      </c>
      <c r="F224" s="14">
        <f>if(TTM!F224="","",iferror(max(min(TTM!F224,0.5),-0.5),""))</f>
        <v>0.06269097201</v>
      </c>
      <c r="G224" s="14">
        <f>if(TTM!G224="","",iferror(max(min(TTM!G224,0.5),-0.5),""))</f>
        <v>-0.2196775297</v>
      </c>
      <c r="H224" s="14">
        <f>if(TTM!H224="","",iferror(max(min(TTM!H224,0.5),-0.5),""))</f>
        <v>0.1110307253</v>
      </c>
      <c r="I224" s="14">
        <f>if(TTM!I224="","",iferror(max(min(TTM!I224,0.5),-0.5),""))</f>
        <v>0.04390462179</v>
      </c>
      <c r="J224" s="14">
        <f>if(TTM!J224="","",iferror(max(min(TTM!J224,0.5),-0.5),""))</f>
        <v>0.06407830409</v>
      </c>
      <c r="K224" s="14">
        <f>if(TTM!K224="","",iferror(max(min(TTM!K224,0.5),-0.5),""))</f>
        <v>0.05575387189</v>
      </c>
      <c r="L224" s="14">
        <f>if(TTM!L224="","",iferror(max(min(TTM!L224,0.5),-0.5),""))</f>
        <v>0.2041389695</v>
      </c>
      <c r="M224" s="14">
        <f>if(TTM!M224="","",iferror(max(min(TTM!M224,0.5),-0.5),""))</f>
        <v>0.06408896125</v>
      </c>
      <c r="N224" s="14">
        <f>if(TTM!N224="","",iferror(max(min(TTM!N224,0.5),-0.5),""))</f>
        <v>0.1222865552</v>
      </c>
      <c r="O224" s="14">
        <f>if(TTM!O224="","",iferror(max(min(TTM!O224,0.5),-0.5),""))</f>
        <v>0.1895530328</v>
      </c>
      <c r="P224" s="14">
        <f>if(TTM!P224="","",iferror(max(min(TTM!P224,0.5),-0.5),""))</f>
        <v>0.4233577283</v>
      </c>
      <c r="Q224" s="14" t="str">
        <f>if(TTM!Q224="","",iferror(max(min(TTM!Q224,0.5),-0.5),""))</f>
        <v/>
      </c>
      <c r="R224" s="14"/>
      <c r="S224" s="14">
        <f>if(TTM!S224="","",iferror(max(min(TTM!S224,0.5),-0.5),""))</f>
        <v>0.1169575094</v>
      </c>
      <c r="T224" s="14">
        <f>if(TTM!T224="","",iferror(max(min(TTM!T224,0.5),-0.5),""))</f>
        <v>0.4609437257</v>
      </c>
      <c r="U224" s="14">
        <f>if(TTM!U224="","",iferror(max(min(TTM!U224,0.5),-0.5),""))</f>
        <v>-0.07309457193</v>
      </c>
      <c r="V224" s="14" t="str">
        <f>if(TTM!V224="","",iferror(max(min(TTM!V224,0.5),-0.5),""))</f>
        <v/>
      </c>
      <c r="W224" s="14" t="str">
        <f>if(TTM!W224="","",iferror(max(min(TTM!W224,0.5),-0.5),""))</f>
        <v/>
      </c>
      <c r="X224" s="14">
        <f>if(TTM!X224="","",iferror(max(min(TTM!X224,0.5),-0.5),""))</f>
        <v>-0.001875527972</v>
      </c>
      <c r="Y224" s="14">
        <f>if(TTM!Y224="","",iferror(max(min(TTM!Y224,0.5),-0.5),""))</f>
        <v>0.2725795004</v>
      </c>
      <c r="Z224" s="14">
        <f>if(TTM!Z224="","",iferror(max(min(TTM!Z224,0.5),-0.5),""))</f>
        <v>0.3585807665</v>
      </c>
      <c r="AA224" s="14">
        <f>if(TTM!AA224="","",iferror(max(min(TTM!AA224,0.5),-0.5),""))</f>
        <v>0.09787135143</v>
      </c>
      <c r="AB224" s="14" t="str">
        <f>if(TTM!AB224="","",iferror(max(min(TTM!AB224,0.5),-0.5),""))</f>
        <v/>
      </c>
      <c r="AC224" s="14">
        <f>if(TTM!AC224="","",iferror(max(min(TTM!AC224,0.5),-0.5),""))</f>
        <v>0.03978805654</v>
      </c>
      <c r="AD224" s="12"/>
    </row>
    <row r="225">
      <c r="A225" s="15" t="s">
        <v>138</v>
      </c>
      <c r="B225" s="14">
        <f>if(TTM!B225="","",iferror(max(min(TTM!B225,0.5),-0.5),""))</f>
        <v>0.182627827</v>
      </c>
      <c r="C225" s="14">
        <f>if(TTM!C225="","",iferror(max(min(TTM!C225,0.5),-0.5),""))</f>
        <v>0.2558328804</v>
      </c>
      <c r="D225" s="14">
        <f>if(TTM!D225="","",iferror(max(min(TTM!D225,0.5),-0.5),""))</f>
        <v>0.2094601767</v>
      </c>
      <c r="E225" s="14">
        <f>if(TTM!E225="","",iferror(max(min(TTM!E225,0.5),-0.5),""))</f>
        <v>0.2240430177</v>
      </c>
      <c r="F225" s="14">
        <f>if(TTM!F225="","",iferror(max(min(TTM!F225,0.5),-0.5),""))</f>
        <v>0.06267220644</v>
      </c>
      <c r="G225" s="14">
        <f>if(TTM!G225="","",iferror(max(min(TTM!G225,0.5),-0.5),""))</f>
        <v>-0.281128446</v>
      </c>
      <c r="H225" s="14">
        <f>if(TTM!H225="","",iferror(max(min(TTM!H225,0.5),-0.5),""))</f>
        <v>0.1228356028</v>
      </c>
      <c r="I225" s="14">
        <f>if(TTM!I225="","",iferror(max(min(TTM!I225,0.5),-0.5),""))</f>
        <v>0.08120770858</v>
      </c>
      <c r="J225" s="14">
        <f>if(TTM!J225="","",iferror(max(min(TTM!J225,0.5),-0.5),""))</f>
        <v>0.1142066252</v>
      </c>
      <c r="K225" s="14">
        <f>if(TTM!K225="","",iferror(max(min(TTM!K225,0.5),-0.5),""))</f>
        <v>0.05786707964</v>
      </c>
      <c r="L225" s="14">
        <f>if(TTM!L225="","",iferror(max(min(TTM!L225,0.5),-0.5),""))</f>
        <v>0.1908556925</v>
      </c>
      <c r="M225" s="14">
        <f>if(TTM!M225="","",iferror(max(min(TTM!M225,0.5),-0.5),""))</f>
        <v>0.06970003172</v>
      </c>
      <c r="N225" s="14">
        <f>if(TTM!N225="","",iferror(max(min(TTM!N225,0.5),-0.5),""))</f>
        <v>0.1054802397</v>
      </c>
      <c r="O225" s="14">
        <f>if(TTM!O225="","",iferror(max(min(TTM!O225,0.5),-0.5),""))</f>
        <v>0.230992856</v>
      </c>
      <c r="P225" s="14">
        <f>if(TTM!P225="","",iferror(max(min(TTM!P225,0.5),-0.5),""))</f>
        <v>0.467226776</v>
      </c>
      <c r="Q225" s="14" t="str">
        <f>if(TTM!Q225="","",iferror(max(min(TTM!Q225,0.5),-0.5),""))</f>
        <v/>
      </c>
      <c r="R225" s="14"/>
      <c r="S225" s="14">
        <f>if(TTM!S225="","",iferror(max(min(TTM!S225,0.5),-0.5),""))</f>
        <v>0.1205188456</v>
      </c>
      <c r="T225" s="14">
        <f>if(TTM!T225="","",iferror(max(min(TTM!T225,0.5),-0.5),""))</f>
        <v>0.4607890255</v>
      </c>
      <c r="U225" s="14">
        <f>if(TTM!U225="","",iferror(max(min(TTM!U225,0.5),-0.5),""))</f>
        <v>-0.07611616538</v>
      </c>
      <c r="V225" s="14" t="str">
        <f>if(TTM!V225="","",iferror(max(min(TTM!V225,0.5),-0.5),""))</f>
        <v/>
      </c>
      <c r="W225" s="14" t="str">
        <f>if(TTM!W225="","",iferror(max(min(TTM!W225,0.5),-0.5),""))</f>
        <v/>
      </c>
      <c r="X225" s="14">
        <f>if(TTM!X225="","",iferror(max(min(TTM!X225,0.5),-0.5),""))</f>
        <v>0.04754451079</v>
      </c>
      <c r="Y225" s="14" t="str">
        <f>if(TTM!Y225="","",iferror(max(min(TTM!Y225,0.5),-0.5),""))</f>
        <v/>
      </c>
      <c r="Z225" s="14" t="str">
        <f>if(TTM!Z225="","",iferror(max(min(TTM!Z225,0.5),-0.5),""))</f>
        <v/>
      </c>
      <c r="AA225" s="14" t="str">
        <f>if(TTM!AA225="","",iferror(max(min(TTM!AA225,0.5),-0.5),""))</f>
        <v/>
      </c>
      <c r="AB225" s="14" t="str">
        <f>if(TTM!AB225="","",iferror(max(min(TTM!AB225,0.5),-0.5),""))</f>
        <v/>
      </c>
      <c r="AC225" s="14" t="str">
        <f>if(TTM!AC225="","",iferror(max(min(TTM!AC225,0.5),-0.5),""))</f>
        <v/>
      </c>
      <c r="AD225" s="12"/>
    </row>
    <row r="226">
      <c r="A226" s="15" t="s">
        <v>139</v>
      </c>
      <c r="B226" s="14">
        <f>if(TTM!B226="","",iferror(max(min(TTM!B226,0.5),-0.5),""))</f>
        <v>0.1765465487</v>
      </c>
      <c r="C226" s="14">
        <f>if(TTM!C226="","",iferror(max(min(TTM!C226,0.5),-0.5),""))</f>
        <v>0.2637863405</v>
      </c>
      <c r="D226" s="14">
        <f>if(TTM!D226="","",iferror(max(min(TTM!D226,0.5),-0.5),""))</f>
        <v>0.2007360757</v>
      </c>
      <c r="E226" s="14">
        <f>if(TTM!E226="","",iferror(max(min(TTM!E226,0.5),-0.5),""))</f>
        <v>0.2705454509</v>
      </c>
      <c r="F226" s="14">
        <f>if(TTM!F226="","",iferror(max(min(TTM!F226,0.5),-0.5),""))</f>
        <v>0.05951968809</v>
      </c>
      <c r="G226" s="14">
        <f>if(TTM!G226="","",iferror(max(min(TTM!G226,0.5),-0.5),""))</f>
        <v>-0.3173688241</v>
      </c>
      <c r="H226" s="14">
        <f>if(TTM!H226="","",iferror(max(min(TTM!H226,0.5),-0.5),""))</f>
        <v>0.1125280631</v>
      </c>
      <c r="I226" s="14">
        <f>if(TTM!I226="","",iferror(max(min(TTM!I226,0.5),-0.5),""))</f>
        <v>0.07470402456</v>
      </c>
      <c r="J226" s="14">
        <f>if(TTM!J226="","",iferror(max(min(TTM!J226,0.5),-0.5),""))</f>
        <v>0.1195807155</v>
      </c>
      <c r="K226" s="14">
        <f>if(TTM!K226="","",iferror(max(min(TTM!K226,0.5),-0.5),""))</f>
        <v>0.06432325217</v>
      </c>
      <c r="L226" s="14">
        <f>if(TTM!L226="","",iferror(max(min(TTM!L226,0.5),-0.5),""))</f>
        <v>0.1783175862</v>
      </c>
      <c r="M226" s="14">
        <f>if(TTM!M226="","",iferror(max(min(TTM!M226,0.5),-0.5),""))</f>
        <v>0.06516000783</v>
      </c>
      <c r="N226" s="14">
        <f>if(TTM!N226="","",iferror(max(min(TTM!N226,0.5),-0.5),""))</f>
        <v>0.1254174227</v>
      </c>
      <c r="O226" s="14" t="str">
        <f>if(TTM!O226="","",iferror(max(min(TTM!O226,0.5),-0.5),""))</f>
        <v>#DIV/0!</v>
      </c>
      <c r="P226" s="14">
        <f>if(TTM!P226="","",iferror(max(min(TTM!P226,0.5),-0.5),""))</f>
        <v>0.4860026794</v>
      </c>
      <c r="Q226" s="14" t="str">
        <f>if(TTM!Q226="","",iferror(max(min(TTM!Q226,0.5),-0.5),""))</f>
        <v/>
      </c>
      <c r="R226" s="14"/>
      <c r="S226" s="14">
        <f>if(TTM!S226="","",iferror(max(min(TTM!S226,0.5),-0.5),""))</f>
        <v>0.1173477338</v>
      </c>
      <c r="T226" s="14">
        <f>if(TTM!T226="","",iferror(max(min(TTM!T226,0.5),-0.5),""))</f>
        <v>0.4823190332</v>
      </c>
      <c r="U226" s="14">
        <f>if(TTM!U226="","",iferror(max(min(TTM!U226,0.5),-0.5),""))</f>
        <v>-0.07306362503</v>
      </c>
      <c r="V226" s="14" t="str">
        <f>if(TTM!V226="","",iferror(max(min(TTM!V226,0.5),-0.5),""))</f>
        <v/>
      </c>
      <c r="W226" s="14" t="str">
        <f>if(TTM!W226="","",iferror(max(min(TTM!W226,0.5),-0.5),""))</f>
        <v/>
      </c>
      <c r="X226" s="14">
        <f>if(TTM!X226="","",iferror(max(min(TTM!X226,0.5),-0.5),""))</f>
        <v>0.09696454954</v>
      </c>
      <c r="Y226" s="14" t="str">
        <f>if(TTM!Y226="","",iferror(max(min(TTM!Y226,0.5),-0.5),""))</f>
        <v/>
      </c>
      <c r="Z226" s="14" t="str">
        <f>if(TTM!Z226="","",iferror(max(min(TTM!Z226,0.5),-0.5),""))</f>
        <v/>
      </c>
      <c r="AA226" s="14" t="str">
        <f>if(TTM!AA226="","",iferror(max(min(TTM!AA226,0.5),-0.5),""))</f>
        <v/>
      </c>
      <c r="AB226" s="14" t="str">
        <f>if(TTM!AB226="","",iferror(max(min(TTM!AB226,0.5),-0.5),""))</f>
        <v/>
      </c>
      <c r="AC226" s="14" t="str">
        <f>if(TTM!AC226="","",iferror(max(min(TTM!AC226,0.5),-0.5),""))</f>
        <v/>
      </c>
      <c r="AD226" s="12"/>
    </row>
    <row r="227">
      <c r="A227" s="15" t="s">
        <v>140</v>
      </c>
      <c r="B227" s="14">
        <f>if(TTM!B227="","",iferror(max(min(TTM!B227,0.5),-0.5),""))</f>
        <v>0.169206183</v>
      </c>
      <c r="C227" s="14">
        <f>if(TTM!C227="","",iferror(max(min(TTM!C227,0.5),-0.5),""))</f>
        <v>0.2462697251</v>
      </c>
      <c r="D227" s="14">
        <f>if(TTM!D227="","",iferror(max(min(TTM!D227,0.5),-0.5),""))</f>
        <v>0.2003331416</v>
      </c>
      <c r="E227" s="14">
        <f>if(TTM!E227="","",iferror(max(min(TTM!E227,0.5),-0.5),""))</f>
        <v>0.2987379899</v>
      </c>
      <c r="F227" s="14">
        <f>if(TTM!F227="","",iferror(max(min(TTM!F227,0.5),-0.5),""))</f>
        <v>0.06051596396</v>
      </c>
      <c r="G227" s="14">
        <f>if(TTM!G227="","",iferror(max(min(TTM!G227,0.5),-0.5),""))</f>
        <v>-0.0596084881</v>
      </c>
      <c r="H227" s="14">
        <f>if(TTM!H227="","",iferror(max(min(TTM!H227,0.5),-0.5),""))</f>
        <v>0.1247738185</v>
      </c>
      <c r="I227" s="14">
        <f>if(TTM!I227="","",iferror(max(min(TTM!I227,0.5),-0.5),""))</f>
        <v>0.06720690726</v>
      </c>
      <c r="J227" s="14">
        <f>if(TTM!J227="","",iferror(max(min(TTM!J227,0.5),-0.5),""))</f>
        <v>0.1466175253</v>
      </c>
      <c r="K227" s="14">
        <f>if(TTM!K227="","",iferror(max(min(TTM!K227,0.5),-0.5),""))</f>
        <v>0.09143476869</v>
      </c>
      <c r="L227" s="14">
        <f>if(TTM!L227="","",iferror(max(min(TTM!L227,0.5),-0.5),""))</f>
        <v>0.1909638909</v>
      </c>
      <c r="M227" s="14">
        <f>if(TTM!M227="","",iferror(max(min(TTM!M227,0.5),-0.5),""))</f>
        <v>0.05521817778</v>
      </c>
      <c r="N227" s="14">
        <f>if(TTM!N227="","",iferror(max(min(TTM!N227,0.5),-0.5),""))</f>
        <v>0.1321510432</v>
      </c>
      <c r="O227" s="14" t="str">
        <f>if(TTM!O227="","",iferror(max(min(TTM!O227,0.5),-0.5),""))</f>
        <v>#DIV/0!</v>
      </c>
      <c r="P227" s="14">
        <f>if(TTM!P227="","",iferror(max(min(TTM!P227,0.5),-0.5),""))</f>
        <v>0.5</v>
      </c>
      <c r="Q227" s="14" t="str">
        <f>if(TTM!Q227="","",iferror(max(min(TTM!Q227,0.5),-0.5),""))</f>
        <v/>
      </c>
      <c r="R227" s="14"/>
      <c r="S227" s="14">
        <f>if(TTM!S227="","",iferror(max(min(TTM!S227,0.5),-0.5),""))</f>
        <v>0.1159130567</v>
      </c>
      <c r="T227" s="14">
        <f>if(TTM!T227="","",iferror(max(min(TTM!T227,0.5),-0.5),""))</f>
        <v>0.4285738718</v>
      </c>
      <c r="U227" s="14">
        <f>if(TTM!U227="","",iferror(max(min(TTM!U227,0.5),-0.5),""))</f>
        <v>-0.003563497962</v>
      </c>
      <c r="V227" s="14" t="str">
        <f>if(TTM!V227="","",iferror(max(min(TTM!V227,0.5),-0.5),""))</f>
        <v/>
      </c>
      <c r="W227" s="14" t="str">
        <f>if(TTM!W227="","",iferror(max(min(TTM!W227,0.5),-0.5),""))</f>
        <v/>
      </c>
      <c r="X227" s="14" t="str">
        <f>if(TTM!X227="","",iferror(max(min(TTM!X227,0.5),-0.5),""))</f>
        <v/>
      </c>
      <c r="Y227" s="14" t="str">
        <f>if(TTM!Y227="","",iferror(max(min(TTM!Y227,0.5),-0.5),""))</f>
        <v/>
      </c>
      <c r="Z227" s="14" t="str">
        <f>if(TTM!Z227="","",iferror(max(min(TTM!Z227,0.5),-0.5),""))</f>
        <v/>
      </c>
      <c r="AA227" s="14" t="str">
        <f>if(TTM!AA227="","",iferror(max(min(TTM!AA227,0.5),-0.5),""))</f>
        <v/>
      </c>
      <c r="AB227" s="14" t="str">
        <f>if(TTM!AB227="","",iferror(max(min(TTM!AB227,0.5),-0.5),""))</f>
        <v/>
      </c>
      <c r="AC227" s="14" t="str">
        <f>if(TTM!AC227="","",iferror(max(min(TTM!AC227,0.5),-0.5),""))</f>
        <v/>
      </c>
      <c r="AD227" s="12"/>
    </row>
    <row r="228">
      <c r="A228" s="15" t="s">
        <v>141</v>
      </c>
      <c r="B228" s="14">
        <f>if(TTM!B228="","",iferror(max(min(TTM!B228,0.5),-0.5),""))</f>
        <v>0.275077318</v>
      </c>
      <c r="C228" s="14">
        <f>if(TTM!C228="","",iferror(max(min(TTM!C228,0.5),-0.5),""))</f>
        <v>0.2962596213</v>
      </c>
      <c r="D228" s="14">
        <f>if(TTM!D228="","",iferror(max(min(TTM!D228,0.5),-0.5),""))</f>
        <v>0.202</v>
      </c>
      <c r="E228" s="14">
        <f>if(TTM!E228="","",iferror(max(min(TTM!E228,0.5),-0.5),""))</f>
        <v>0.3112533833</v>
      </c>
      <c r="F228" s="14">
        <f>if(TTM!F228="","",iferror(max(min(TTM!F228,0.5),-0.5),""))</f>
        <v>0.03939487094</v>
      </c>
      <c r="G228" s="14">
        <f>if(TTM!G228="","",iferror(max(min(TTM!G228,0.5),-0.5),""))</f>
        <v>0.091</v>
      </c>
      <c r="H228" s="14">
        <f>if(TTM!H228="","",iferror(max(min(TTM!H228,0.5),-0.5),""))</f>
        <v>0.1412164666</v>
      </c>
      <c r="I228" s="14" t="str">
        <f>if(TTM!I228="","",iferror(max(min(TTM!I228,0.5),-0.5),""))</f>
        <v>#DIV/0!</v>
      </c>
      <c r="J228" s="14">
        <f>if(TTM!J228="","",iferror(max(min(TTM!J228,0.5),-0.5),""))</f>
        <v>0.112</v>
      </c>
      <c r="K228" s="14">
        <f>if(TTM!K228="","",iferror(max(min(TTM!K228,0.5),-0.5),""))</f>
        <v>0.094</v>
      </c>
      <c r="L228" s="14" t="str">
        <f>if(TTM!L228="","",iferror(max(min(TTM!L228,0.5),-0.5),""))</f>
        <v>#DIV/0!</v>
      </c>
      <c r="M228" s="14" t="str">
        <f>if(TTM!M228="","",iferror(max(min(TTM!M228,0.5),-0.5),""))</f>
        <v>#DIV/0!</v>
      </c>
      <c r="N228" s="14">
        <f>if(TTM!N228="","",iferror(max(min(TTM!N228,0.5),-0.5),""))</f>
        <v>0.016</v>
      </c>
      <c r="O228" s="14" t="str">
        <f>if(TTM!O228="","",iferror(max(min(TTM!O228,0.5),-0.5),""))</f>
        <v>#DIV/0!</v>
      </c>
      <c r="P228" s="14" t="str">
        <f>if(TTM!P228="","",iferror(max(min(TTM!P228,0.5),-0.5),""))</f>
        <v>#DIV/0!</v>
      </c>
      <c r="Q228" s="14" t="str">
        <f>if(TTM!Q228="","",iferror(max(min(TTM!Q228,0.5),-0.5),""))</f>
        <v/>
      </c>
      <c r="R228" s="14"/>
      <c r="S228" s="14">
        <f>if(TTM!S228="","",iferror(max(min(TTM!S228,0.5),-0.5),""))</f>
        <v>0.1062976721</v>
      </c>
      <c r="T228" s="14">
        <f>if(TTM!T228="","",iferror(max(min(TTM!T228,0.5),-0.5),""))</f>
        <v>0.4023231961</v>
      </c>
      <c r="U228" s="14">
        <f>if(TTM!U228="","",iferror(max(min(TTM!U228,0.5),-0.5),""))</f>
        <v>0.006901795822</v>
      </c>
      <c r="V228" s="14" t="str">
        <f>if(TTM!V228="","",iferror(max(min(TTM!V228,0.5),-0.5),""))</f>
        <v/>
      </c>
      <c r="W228" s="14" t="str">
        <f>if(TTM!W228="","",iferror(max(min(TTM!W228,0.5),-0.5),""))</f>
        <v/>
      </c>
      <c r="X228" s="14" t="str">
        <f>if(TTM!X228="","",iferror(max(min(TTM!X228,0.5),-0.5),""))</f>
        <v/>
      </c>
      <c r="Y228" s="14" t="str">
        <f>if(TTM!Y228="","",iferror(max(min(TTM!Y228,0.5),-0.5),""))</f>
        <v/>
      </c>
      <c r="Z228" s="14" t="str">
        <f>if(TTM!Z228="","",iferror(max(min(TTM!Z228,0.5),-0.5),""))</f>
        <v/>
      </c>
      <c r="AA228" s="14" t="str">
        <f>if(TTM!AA228="","",iferror(max(min(TTM!AA228,0.5),-0.5),""))</f>
        <v/>
      </c>
      <c r="AB228" s="14" t="str">
        <f>if(TTM!AB228="","",iferror(max(min(TTM!AB228,0.5),-0.5),""))</f>
        <v/>
      </c>
      <c r="AC228" s="14" t="str">
        <f>if(TTM!AC228="","",iferror(max(min(TTM!AC228,0.5),-0.5),""))</f>
        <v/>
      </c>
      <c r="AD228" s="12"/>
    </row>
    <row r="229">
      <c r="A229" s="15"/>
      <c r="B229" s="16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</row>
  </sheetData>
  <conditionalFormatting sqref="B2:U228 V3:AC114 V117:AC228">
    <cfRule type="colorScale" priority="1">
      <colorScale>
        <cfvo type="formula" val="-50%"/>
        <cfvo type="formula" val="0"/>
        <cfvo type="formula" val="100%"/>
        <color rgb="FFE67C73"/>
        <color rgb="FFFFFFFF"/>
        <color rgb="FF57BB8A"/>
      </colorScale>
    </cfRule>
  </conditionalFormatting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9999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6.5"/>
  </cols>
  <sheetData>
    <row r="1" ht="72.0" customHeight="1">
      <c r="A1" s="99"/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4" t="s">
        <v>7</v>
      </c>
      <c r="I1" s="2" t="s">
        <v>8</v>
      </c>
      <c r="J1" s="4" t="s">
        <v>9</v>
      </c>
      <c r="K1" s="5" t="s">
        <v>10</v>
      </c>
      <c r="L1" s="3" t="s">
        <v>11</v>
      </c>
      <c r="M1" s="100" t="s">
        <v>12</v>
      </c>
      <c r="N1" s="101" t="s">
        <v>13</v>
      </c>
      <c r="O1" s="102" t="s">
        <v>14</v>
      </c>
      <c r="P1" s="100" t="s">
        <v>15</v>
      </c>
      <c r="Q1" s="101" t="s">
        <v>17</v>
      </c>
      <c r="R1" s="7" t="s">
        <v>18</v>
      </c>
      <c r="S1" s="9" t="s">
        <v>19</v>
      </c>
      <c r="T1" s="10" t="s">
        <v>20</v>
      </c>
    </row>
    <row r="2">
      <c r="A2" s="103" t="s">
        <v>323</v>
      </c>
    </row>
    <row r="3">
      <c r="A3" s="103">
        <v>1997.0</v>
      </c>
      <c r="D3" s="104">
        <v>2742.0</v>
      </c>
    </row>
    <row r="4">
      <c r="A4" s="103">
        <v>1998.0</v>
      </c>
      <c r="C4" s="104">
        <v>35237.0</v>
      </c>
      <c r="D4" s="104">
        <v>13827.0</v>
      </c>
    </row>
    <row r="5">
      <c r="A5" s="103">
        <v>1999.0</v>
      </c>
      <c r="C5" s="104">
        <v>482410.0</v>
      </c>
      <c r="D5" s="104">
        <v>38699.0</v>
      </c>
    </row>
    <row r="6">
      <c r="A6" s="103">
        <v>2000.0</v>
      </c>
      <c r="C6" s="104">
        <v>1235396.0</v>
      </c>
      <c r="D6" s="104">
        <v>94631.0</v>
      </c>
      <c r="E6" s="104">
        <v>780.0</v>
      </c>
    </row>
    <row r="7">
      <c r="A7" s="103">
        <v>2001.0</v>
      </c>
      <c r="C7" s="104">
        <v>1171753.0</v>
      </c>
      <c r="D7" s="104">
        <v>222220.0</v>
      </c>
      <c r="E7" s="104">
        <v>5314.0</v>
      </c>
      <c r="O7" s="104">
        <v>139.0</v>
      </c>
    </row>
    <row r="8">
      <c r="A8" s="103">
        <v>2002.0</v>
      </c>
      <c r="C8" s="104">
        <v>1003606.0</v>
      </c>
      <c r="D8" s="104">
        <v>1499075.0</v>
      </c>
      <c r="E8" s="104">
        <v>12210.0</v>
      </c>
      <c r="O8" s="104">
        <v>6676.0</v>
      </c>
    </row>
    <row r="9">
      <c r="A9" s="103">
        <v>2003.0</v>
      </c>
      <c r="C9" s="104">
        <v>863661.0</v>
      </c>
      <c r="D9" s="104">
        <v>2339813.0</v>
      </c>
      <c r="E9" s="104">
        <v>21535.0</v>
      </c>
      <c r="O9" s="104">
        <v>924.0</v>
      </c>
    </row>
    <row r="10">
      <c r="A10" s="103">
        <v>2004.0</v>
      </c>
      <c r="C10" s="104">
        <v>914372.0</v>
      </c>
      <c r="D10" s="104">
        <v>1843013.0</v>
      </c>
      <c r="E10" s="104">
        <v>40873.0</v>
      </c>
      <c r="O10" s="104">
        <v>991.0</v>
      </c>
    </row>
    <row r="11">
      <c r="A11" s="103">
        <v>2005.0</v>
      </c>
      <c r="C11" s="104">
        <v>962660.0</v>
      </c>
      <c r="D11" s="104">
        <v>2119455.0</v>
      </c>
      <c r="E11" s="104">
        <v>67428.0</v>
      </c>
      <c r="O11" s="104">
        <v>3990.0</v>
      </c>
    </row>
    <row r="12">
      <c r="A12" s="103">
        <v>2006.0</v>
      </c>
      <c r="C12" s="104">
        <v>1123103.0</v>
      </c>
      <c r="D12" s="104">
        <v>2237586.0</v>
      </c>
      <c r="E12" s="104">
        <v>101315.0</v>
      </c>
      <c r="O12" s="104">
        <v>8575.0</v>
      </c>
    </row>
    <row r="13">
      <c r="A13" s="103">
        <v>2007.0</v>
      </c>
      <c r="C13" s="104">
        <v>1409409.0</v>
      </c>
      <c r="D13" s="104">
        <v>2665332.0</v>
      </c>
      <c r="E13" s="104">
        <v>168991.0</v>
      </c>
      <c r="O13" s="104">
        <v>13382.0</v>
      </c>
    </row>
    <row r="14">
      <c r="A14" s="103">
        <v>2008.0</v>
      </c>
      <c r="C14" s="104">
        <v>1884806.0</v>
      </c>
      <c r="D14" s="104">
        <v>2937013.0</v>
      </c>
      <c r="E14" s="104">
        <v>224878.0</v>
      </c>
      <c r="O14" s="104">
        <v>22644.0</v>
      </c>
    </row>
    <row r="15">
      <c r="A15" s="103">
        <v>2009.0</v>
      </c>
      <c r="C15" s="104">
        <v>2338212.0</v>
      </c>
      <c r="D15" s="104">
        <v>2743051.0</v>
      </c>
      <c r="E15" s="104">
        <v>300051.0</v>
      </c>
      <c r="F15" s="104">
        <v>352089.0</v>
      </c>
      <c r="J15" s="104">
        <v>68552.0</v>
      </c>
      <c r="L15" s="104"/>
      <c r="O15" s="104">
        <v>22997.0</v>
      </c>
    </row>
    <row r="16">
      <c r="A16" s="103">
        <v>2010.0</v>
      </c>
      <c r="C16" s="104">
        <v>3084905.0</v>
      </c>
      <c r="D16" s="104">
        <v>3033645.0</v>
      </c>
      <c r="E16" s="104">
        <v>450001.0</v>
      </c>
      <c r="F16" s="104">
        <v>484635.0</v>
      </c>
      <c r="J16" s="104">
        <v>83560.0</v>
      </c>
      <c r="L16" s="104"/>
      <c r="O16" s="104">
        <v>31653.0</v>
      </c>
    </row>
    <row r="17">
      <c r="A17" s="103">
        <v>2011.0</v>
      </c>
      <c r="C17" s="104">
        <v>4355610.0</v>
      </c>
      <c r="D17" s="104">
        <v>3449009.0</v>
      </c>
      <c r="E17" s="104">
        <v>573840.0</v>
      </c>
      <c r="F17" s="104">
        <v>637063.0</v>
      </c>
      <c r="J17" s="104">
        <v>124721.0</v>
      </c>
      <c r="L17" s="104"/>
      <c r="O17" s="104">
        <v>46766.0</v>
      </c>
    </row>
    <row r="18">
      <c r="A18" s="103">
        <v>2012.0</v>
      </c>
      <c r="C18" s="104">
        <v>5260956.0</v>
      </c>
      <c r="D18" s="104">
        <v>4030347.0</v>
      </c>
      <c r="E18" s="104">
        <v>681932.0</v>
      </c>
      <c r="F18" s="104">
        <v>763000.0</v>
      </c>
      <c r="H18" s="104">
        <v>565684.0</v>
      </c>
      <c r="J18" s="104">
        <v>196599.0</v>
      </c>
      <c r="L18" s="104"/>
      <c r="O18" s="104">
        <v>58770.0</v>
      </c>
      <c r="R18" s="104">
        <v>98981.0</v>
      </c>
    </row>
    <row r="19">
      <c r="A19" s="103">
        <v>2013.0</v>
      </c>
      <c r="C19" s="104">
        <v>6793306.0</v>
      </c>
      <c r="D19" s="104">
        <v>4771259.0</v>
      </c>
      <c r="E19" s="104">
        <v>909456.0</v>
      </c>
      <c r="F19" s="104">
        <v>945000.0</v>
      </c>
      <c r="H19" s="104">
        <v>614063.0</v>
      </c>
      <c r="J19" s="104">
        <v>228822.0</v>
      </c>
      <c r="L19" s="104"/>
      <c r="O19" s="104">
        <v>69113.0</v>
      </c>
      <c r="R19" s="104">
        <v>169883.0</v>
      </c>
    </row>
    <row r="20">
      <c r="A20" s="103">
        <v>2014.0</v>
      </c>
      <c r="C20" s="104">
        <v>8441971.0</v>
      </c>
      <c r="D20" s="104">
        <v>5763485.0</v>
      </c>
      <c r="E20" s="104">
        <v>1200673.0</v>
      </c>
      <c r="F20" s="104">
        <v>1246000.0</v>
      </c>
      <c r="G20" s="104">
        <v>375560.0</v>
      </c>
      <c r="H20" s="104">
        <v>660354.0</v>
      </c>
      <c r="J20" s="104">
        <v>256543.0</v>
      </c>
      <c r="L20" s="104"/>
      <c r="O20" s="104">
        <v>92923.0</v>
      </c>
      <c r="R20" s="104">
        <v>178457.0</v>
      </c>
    </row>
    <row r="21">
      <c r="A21" s="103">
        <v>2015.0</v>
      </c>
      <c r="B21" s="105">
        <v>919041.0</v>
      </c>
      <c r="C21" s="104">
        <v>9223987.0</v>
      </c>
      <c r="D21" s="104">
        <v>6672317.0</v>
      </c>
      <c r="E21" s="104">
        <v>1678744.0</v>
      </c>
      <c r="F21" s="104">
        <v>1492000.0</v>
      </c>
      <c r="G21" s="104">
        <v>536819.0</v>
      </c>
      <c r="H21" s="104">
        <v>154985.0</v>
      </c>
      <c r="I21" s="104">
        <v>421711.0</v>
      </c>
      <c r="J21" s="104">
        <v>300515.0</v>
      </c>
      <c r="L21" s="104"/>
      <c r="O21" s="104">
        <v>91502.0</v>
      </c>
      <c r="R21" s="104">
        <v>271837.0</v>
      </c>
    </row>
    <row r="22">
      <c r="A22" s="103">
        <v>2016.0</v>
      </c>
      <c r="B22" s="105">
        <v>1655576.0</v>
      </c>
      <c r="C22" s="104">
        <v>1.0743E7</v>
      </c>
      <c r="D22" s="104">
        <v>8773564.0</v>
      </c>
      <c r="E22" s="104">
        <v>2766762.0</v>
      </c>
      <c r="F22" s="104">
        <v>1480000.0</v>
      </c>
      <c r="G22" s="104">
        <v>794969.0</v>
      </c>
      <c r="H22" s="104">
        <v>527416.0</v>
      </c>
      <c r="I22" s="104">
        <v>411162.0</v>
      </c>
      <c r="J22" s="104">
        <v>337068.0</v>
      </c>
      <c r="L22" s="104">
        <v>446000.0</v>
      </c>
      <c r="O22" s="104">
        <v>114695.0</v>
      </c>
      <c r="R22" s="104">
        <v>275682.0</v>
      </c>
    </row>
    <row r="23">
      <c r="A23" s="103">
        <v>2017.0</v>
      </c>
      <c r="B23" s="105">
        <v>2561721.0</v>
      </c>
      <c r="C23" s="104">
        <v>1.2681E7</v>
      </c>
      <c r="D23" s="104">
        <v>1.0059844E7</v>
      </c>
      <c r="E23" s="104">
        <v>4112604.0</v>
      </c>
      <c r="F23" s="104">
        <v>1556000.0</v>
      </c>
      <c r="G23" s="104">
        <v>1241734.0</v>
      </c>
      <c r="H23" s="104">
        <v>520185.0</v>
      </c>
      <c r="I23" s="104">
        <v>523940.0</v>
      </c>
      <c r="J23" s="104">
        <v>447979.0</v>
      </c>
      <c r="L23" s="104">
        <v>428000.0</v>
      </c>
      <c r="O23" s="104">
        <v>158991.0</v>
      </c>
      <c r="R23" s="104">
        <v>310415.0</v>
      </c>
      <c r="S23" s="104">
        <v>19710.0</v>
      </c>
      <c r="T23" s="104">
        <v>144866.0</v>
      </c>
    </row>
    <row r="24">
      <c r="A24" s="103">
        <v>2018.0</v>
      </c>
      <c r="B24" s="105">
        <v>3651985.0</v>
      </c>
      <c r="C24" s="104">
        <v>1.4527E7</v>
      </c>
      <c r="D24" s="104">
        <v>1.1223E7</v>
      </c>
      <c r="E24" s="104">
        <v>4518459.0</v>
      </c>
      <c r="F24" s="104">
        <v>1615000.0</v>
      </c>
      <c r="G24" s="104">
        <v>1047465.0</v>
      </c>
      <c r="H24" s="104">
        <v>630946.0</v>
      </c>
      <c r="I24" s="104">
        <v>530614.0</v>
      </c>
      <c r="J24" s="104">
        <v>675691.0</v>
      </c>
      <c r="L24" s="104">
        <v>381000.0</v>
      </c>
      <c r="O24" s="104">
        <v>562740.0</v>
      </c>
      <c r="R24" s="104">
        <v>333089.0</v>
      </c>
      <c r="S24" s="104">
        <v>38713.0</v>
      </c>
      <c r="T24" s="104">
        <v>189674.0</v>
      </c>
    </row>
    <row r="25">
      <c r="A25" s="103">
        <v>2019.0</v>
      </c>
      <c r="B25" s="105">
        <v>4805239.0</v>
      </c>
      <c r="C25" s="104">
        <v>1.5066E7</v>
      </c>
      <c r="D25" s="104">
        <v>1.2067E7</v>
      </c>
      <c r="E25" s="104">
        <v>5104623.0</v>
      </c>
      <c r="F25" s="104">
        <v>1560000.0</v>
      </c>
      <c r="G25" s="104">
        <v>942102.0</v>
      </c>
      <c r="H25" s="104">
        <v>619408.0</v>
      </c>
      <c r="I25" s="104">
        <v>524876.0</v>
      </c>
      <c r="J25" s="104">
        <v>486178.0</v>
      </c>
      <c r="K25" s="104">
        <v>5880.0</v>
      </c>
      <c r="L25" s="104">
        <v>340000.0</v>
      </c>
      <c r="O25" s="104">
        <v>254094.0</v>
      </c>
      <c r="R25" s="104">
        <v>392116.0</v>
      </c>
      <c r="S25" s="104">
        <v>28385.0</v>
      </c>
      <c r="T25" s="104">
        <v>139109.0</v>
      </c>
    </row>
    <row r="26">
      <c r="A26" s="106" t="s">
        <v>331</v>
      </c>
      <c r="B26" s="105">
        <v>3378199.0</v>
      </c>
      <c r="C26" s="104">
        <v>6796000.0</v>
      </c>
      <c r="D26" s="104">
        <v>5199000.0</v>
      </c>
      <c r="E26" s="104">
        <v>2802797.0</v>
      </c>
      <c r="F26" s="104">
        <v>604000.0</v>
      </c>
      <c r="G26" s="104">
        <v>305451.0</v>
      </c>
      <c r="H26" s="104">
        <v>615466.0</v>
      </c>
      <c r="I26" s="104">
        <v>131334.0</v>
      </c>
      <c r="J26" s="104">
        <v>511892.0</v>
      </c>
      <c r="K26" s="104">
        <v>14877.0</v>
      </c>
      <c r="L26" s="104">
        <v>82000.0</v>
      </c>
      <c r="O26" s="104">
        <v>183173.0</v>
      </c>
      <c r="R26" s="104">
        <v>128926.0</v>
      </c>
      <c r="S26" s="104">
        <v>22595.0</v>
      </c>
      <c r="T26" s="104">
        <v>98413.0</v>
      </c>
    </row>
    <row r="27">
      <c r="A27" s="103">
        <v>2021.0</v>
      </c>
      <c r="B27" s="105">
        <v>5991760.0</v>
      </c>
      <c r="C27" s="104">
        <v>1.0958E7</v>
      </c>
      <c r="D27" s="104">
        <v>8598000.0</v>
      </c>
      <c r="E27" s="104">
        <v>3143131.0</v>
      </c>
      <c r="F27" s="104">
        <v>902000.0</v>
      </c>
      <c r="G27" s="104">
        <v>409395.0</v>
      </c>
      <c r="H27" s="104">
        <v>125659.0</v>
      </c>
      <c r="I27" s="104">
        <v>322843.0</v>
      </c>
      <c r="J27" s="104">
        <v>167112.0</v>
      </c>
      <c r="K27" s="104">
        <v>18693.0</v>
      </c>
      <c r="L27" s="104">
        <v>162000.0</v>
      </c>
      <c r="O27" s="104">
        <v>29420.0</v>
      </c>
      <c r="R27" s="104">
        <v>186424.0</v>
      </c>
      <c r="S27" s="104">
        <v>19021.0</v>
      </c>
      <c r="T27" s="104">
        <v>19091.0</v>
      </c>
    </row>
    <row r="28">
      <c r="A28" s="103">
        <v>2022.0</v>
      </c>
      <c r="B28" s="105">
        <v>8399000.0</v>
      </c>
      <c r="C28" s="104">
        <v>1.709E7</v>
      </c>
      <c r="D28" s="104">
        <v>1.1667E7</v>
      </c>
      <c r="E28" s="104">
        <v>2868451.0</v>
      </c>
      <c r="F28" s="104">
        <v>1492000.0</v>
      </c>
      <c r="G28" s="104">
        <v>570635.0</v>
      </c>
      <c r="H28" s="104">
        <v>454166.0</v>
      </c>
      <c r="I28" s="104">
        <v>537972.0</v>
      </c>
      <c r="J28" s="104">
        <v>307406.0</v>
      </c>
      <c r="K28" s="104">
        <v>50213.0</v>
      </c>
      <c r="L28" s="104">
        <v>246000.0</v>
      </c>
      <c r="O28" s="104">
        <v>103775.0</v>
      </c>
      <c r="R28" s="104">
        <v>328118.0</v>
      </c>
      <c r="S28" s="104">
        <v>31388.0</v>
      </c>
      <c r="T28" s="104">
        <v>28335.0</v>
      </c>
    </row>
    <row r="29">
      <c r="A29" s="103">
        <v>2023.0</v>
      </c>
      <c r="B29" s="105">
        <v>9917000.0</v>
      </c>
      <c r="C29" s="104">
        <v>2.1365E7</v>
      </c>
      <c r="D29" s="104">
        <v>1.2839E7</v>
      </c>
      <c r="E29" s="104">
        <v>6230752.0</v>
      </c>
      <c r="F29" s="104">
        <v>1788000.0</v>
      </c>
      <c r="G29" s="104">
        <v>535959.0</v>
      </c>
      <c r="H29" s="104">
        <v>642340.0</v>
      </c>
      <c r="I29" s="104">
        <v>706040.0</v>
      </c>
      <c r="J29" s="104">
        <v>595657.0</v>
      </c>
      <c r="K29" s="104">
        <v>61007.0</v>
      </c>
      <c r="L29" s="104">
        <v>377000.0</v>
      </c>
      <c r="O29" s="104">
        <v>244585.0</v>
      </c>
      <c r="R29" s="104">
        <v>362292.0</v>
      </c>
      <c r="S29" s="104">
        <v>55436.0</v>
      </c>
      <c r="T29" s="104">
        <v>48406.0</v>
      </c>
    </row>
    <row r="30">
      <c r="A30" s="103">
        <v>2024.0</v>
      </c>
      <c r="H30" s="104">
        <v>703268.0</v>
      </c>
      <c r="J30" s="104">
        <v>783162.0</v>
      </c>
      <c r="K30" s="104">
        <v>79772.0</v>
      </c>
      <c r="O30" s="104">
        <v>314189.0</v>
      </c>
      <c r="S30" s="104">
        <v>73054.0</v>
      </c>
      <c r="T30" s="104">
        <v>51482.0</v>
      </c>
    </row>
    <row r="31">
      <c r="H31" s="104"/>
      <c r="O31" s="104"/>
    </row>
    <row r="32">
      <c r="A32" s="103" t="s">
        <v>324</v>
      </c>
      <c r="O32" s="104"/>
    </row>
    <row r="33">
      <c r="A33" s="103">
        <v>1997.0</v>
      </c>
      <c r="D33" s="104">
        <v>-28434.0</v>
      </c>
    </row>
    <row r="34">
      <c r="A34" s="103">
        <v>1998.0</v>
      </c>
      <c r="C34" s="104">
        <v>-52952.0</v>
      </c>
      <c r="D34" s="104">
        <v>-28728.0</v>
      </c>
    </row>
    <row r="35">
      <c r="A35" s="103">
        <v>1999.0</v>
      </c>
      <c r="C35" s="104">
        <v>-58041.0</v>
      </c>
      <c r="D35" s="104">
        <v>-18824.0</v>
      </c>
    </row>
    <row r="36">
      <c r="A36" s="103">
        <v>2000.0</v>
      </c>
      <c r="C36" s="104">
        <v>-31525.0</v>
      </c>
      <c r="D36" s="104">
        <v>-109351.0</v>
      </c>
      <c r="E36" s="104">
        <v>-3729.0</v>
      </c>
    </row>
    <row r="37">
      <c r="A37" s="103">
        <v>2001.0</v>
      </c>
      <c r="C37" s="104">
        <v>6750.0</v>
      </c>
      <c r="D37" s="104">
        <v>-12977.0</v>
      </c>
      <c r="E37" s="104">
        <v>-1977.0</v>
      </c>
      <c r="O37" s="104">
        <v>-897.0</v>
      </c>
    </row>
    <row r="38">
      <c r="A38" s="103">
        <v>2002.0</v>
      </c>
      <c r="C38" s="104">
        <v>22654.0</v>
      </c>
      <c r="D38" s="104">
        <v>257400.0</v>
      </c>
      <c r="E38" s="104">
        <v>3319.0</v>
      </c>
      <c r="O38" s="104">
        <v>-414.0</v>
      </c>
    </row>
    <row r="39">
      <c r="A39" s="103">
        <v>2003.0</v>
      </c>
      <c r="C39" s="104">
        <v>26003.0</v>
      </c>
      <c r="D39" s="104">
        <v>366027.0</v>
      </c>
      <c r="E39" s="104">
        <v>7748.0</v>
      </c>
      <c r="O39" s="104">
        <v>-427.0</v>
      </c>
    </row>
    <row r="40">
      <c r="A40" s="103">
        <v>2004.0</v>
      </c>
      <c r="C40" s="104">
        <v>44799.0</v>
      </c>
      <c r="D40" s="104">
        <v>409630.0</v>
      </c>
      <c r="E40" s="104">
        <v>16992.0</v>
      </c>
      <c r="O40" s="104">
        <v>-688.0</v>
      </c>
    </row>
    <row r="41">
      <c r="A41" s="103">
        <v>2005.0</v>
      </c>
      <c r="C41" s="104">
        <v>64848.0</v>
      </c>
      <c r="D41" s="104">
        <v>573564.0</v>
      </c>
      <c r="E41" s="104">
        <v>31135.0</v>
      </c>
      <c r="O41" s="104">
        <v>1298.0</v>
      </c>
    </row>
    <row r="42">
      <c r="A42" s="103">
        <v>2006.0</v>
      </c>
      <c r="C42" s="104">
        <v>97021.0</v>
      </c>
      <c r="D42" s="104">
        <v>557874.0</v>
      </c>
      <c r="E42" s="104">
        <v>35939.0</v>
      </c>
      <c r="O42" s="104">
        <v>2864.0</v>
      </c>
    </row>
    <row r="43">
      <c r="A43" s="103">
        <v>2007.0</v>
      </c>
      <c r="C43" s="104">
        <v>230785.0</v>
      </c>
      <c r="D43" s="104">
        <v>666164.0</v>
      </c>
      <c r="E43" s="104">
        <v>63782.0</v>
      </c>
      <c r="O43" s="104">
        <v>3586.0</v>
      </c>
    </row>
    <row r="44">
      <c r="A44" s="103">
        <v>2008.0</v>
      </c>
      <c r="C44" s="104">
        <v>332542.0</v>
      </c>
      <c r="D44" s="104">
        <v>713283.0</v>
      </c>
      <c r="E44" s="104">
        <v>81110.0</v>
      </c>
      <c r="O44" s="104">
        <v>7968.0</v>
      </c>
    </row>
    <row r="45">
      <c r="A45" s="103">
        <v>2009.0</v>
      </c>
      <c r="C45" s="104">
        <v>510028.0</v>
      </c>
      <c r="D45" s="104">
        <v>617237.0</v>
      </c>
      <c r="E45" s="104">
        <v>117381.0</v>
      </c>
      <c r="F45" s="104">
        <v>191314.0</v>
      </c>
      <c r="J45" s="104">
        <v>-8821.0</v>
      </c>
      <c r="O45" s="104">
        <v>7850.0</v>
      </c>
    </row>
    <row r="46">
      <c r="A46" s="103">
        <v>2010.0</v>
      </c>
      <c r="C46" s="104">
        <v>837261.0</v>
      </c>
      <c r="D46" s="104">
        <v>651524.0</v>
      </c>
      <c r="E46" s="104">
        <v>185101.0</v>
      </c>
      <c r="F46" s="104">
        <v>253780.0</v>
      </c>
      <c r="J46" s="104">
        <v>-4414.0</v>
      </c>
      <c r="O46" s="104">
        <v>11151.0</v>
      </c>
    </row>
    <row r="47">
      <c r="A47" s="103">
        <v>2011.0</v>
      </c>
      <c r="C47" s="104">
        <v>1452746.0</v>
      </c>
      <c r="D47" s="104">
        <v>655398.0</v>
      </c>
      <c r="E47" s="104">
        <v>202113.0</v>
      </c>
      <c r="F47" s="104">
        <v>305574.0</v>
      </c>
      <c r="J47" s="104">
        <v>6057.0</v>
      </c>
      <c r="O47" s="104">
        <v>14663.0</v>
      </c>
    </row>
    <row r="48">
      <c r="A48" s="103">
        <v>2012.0</v>
      </c>
      <c r="C48" s="104">
        <v>1894934.0</v>
      </c>
      <c r="D48" s="104">
        <v>744701.0</v>
      </c>
      <c r="E48" s="104">
        <v>140533.0</v>
      </c>
      <c r="F48" s="104">
        <v>322000.0</v>
      </c>
      <c r="H48" s="104">
        <v>120127.0</v>
      </c>
      <c r="J48" s="104">
        <v>6866.0</v>
      </c>
      <c r="O48" s="104">
        <v>18571.0</v>
      </c>
      <c r="R48" s="104">
        <v>14930.0</v>
      </c>
    </row>
    <row r="49">
      <c r="A49" s="103">
        <v>2013.0</v>
      </c>
      <c r="C49" s="104">
        <v>2530389.0</v>
      </c>
      <c r="D49" s="104">
        <v>793926.0</v>
      </c>
      <c r="E49" s="104">
        <v>183961.0</v>
      </c>
      <c r="F49" s="104">
        <v>330000.0</v>
      </c>
      <c r="H49" s="104">
        <v>128565.0</v>
      </c>
      <c r="J49" s="104">
        <v>-14239.0</v>
      </c>
      <c r="O49" s="104">
        <v>11132.0</v>
      </c>
      <c r="R49" s="104">
        <v>28964.0</v>
      </c>
    </row>
    <row r="50">
      <c r="A50" s="103">
        <v>2014.0</v>
      </c>
      <c r="C50" s="104">
        <v>3281132.0</v>
      </c>
      <c r="D50" s="104">
        <v>930365.0</v>
      </c>
      <c r="E50" s="104">
        <v>5119.0</v>
      </c>
      <c r="F50" s="104">
        <v>409000.0</v>
      </c>
      <c r="G50" s="104">
        <v>-327.0</v>
      </c>
      <c r="H50" s="104">
        <v>114840.0</v>
      </c>
      <c r="J50" s="104">
        <v>-9710.0</v>
      </c>
      <c r="O50" s="104">
        <v>22516.0</v>
      </c>
      <c r="R50" s="104">
        <v>28961.0</v>
      </c>
    </row>
    <row r="51">
      <c r="A51" s="103">
        <v>2015.0</v>
      </c>
      <c r="B51" s="105">
        <v>-123697.0</v>
      </c>
      <c r="C51" s="104">
        <v>3531401.0</v>
      </c>
      <c r="D51" s="104">
        <v>914195.0</v>
      </c>
      <c r="E51" s="104">
        <v>107411.0</v>
      </c>
      <c r="F51" s="104">
        <v>325000.0</v>
      </c>
      <c r="G51" s="104">
        <v>-16365.0</v>
      </c>
      <c r="H51" s="104" t="s">
        <v>330</v>
      </c>
      <c r="I51" s="104">
        <v>-39928.0</v>
      </c>
      <c r="J51" s="104">
        <v>-6484.0</v>
      </c>
      <c r="O51" s="104">
        <v>22623.0</v>
      </c>
      <c r="R51" s="104">
        <v>-11897.0</v>
      </c>
    </row>
    <row r="52">
      <c r="A52" s="103">
        <v>2016.0</v>
      </c>
      <c r="B52" s="105">
        <v>-132993.0</v>
      </c>
      <c r="C52" s="104">
        <v>4156135.0</v>
      </c>
      <c r="D52" s="104">
        <v>1358701.0</v>
      </c>
      <c r="E52" s="104">
        <v>-122254.0</v>
      </c>
      <c r="F52" s="104">
        <v>268000.0</v>
      </c>
      <c r="G52" s="104">
        <v>-22620.0</v>
      </c>
      <c r="H52" s="104">
        <v>98202.0</v>
      </c>
      <c r="I52" s="104">
        <v>48011.0</v>
      </c>
      <c r="J52" s="104">
        <v>-55524.0</v>
      </c>
      <c r="L52" s="104">
        <v>226000.0</v>
      </c>
      <c r="M52" s="107"/>
      <c r="O52" s="104">
        <v>27290.0</v>
      </c>
      <c r="R52" s="104">
        <v>24802.0</v>
      </c>
    </row>
    <row r="53">
      <c r="A53" s="103">
        <v>2017.0</v>
      </c>
      <c r="B53" s="105">
        <v>-2020.0</v>
      </c>
      <c r="C53" s="104">
        <v>4928000.0</v>
      </c>
      <c r="D53" s="104">
        <v>1556832.0</v>
      </c>
      <c r="E53" s="104">
        <v>585014.0</v>
      </c>
      <c r="F53" s="104">
        <v>236000.0</v>
      </c>
      <c r="G53" s="104">
        <v>-11209.0</v>
      </c>
      <c r="H53" s="104">
        <v>106966.0</v>
      </c>
      <c r="I53" s="104">
        <v>85065.0</v>
      </c>
      <c r="J53" s="104">
        <v>-105639.0</v>
      </c>
      <c r="L53" s="104">
        <v>139000.0</v>
      </c>
      <c r="M53" s="107"/>
      <c r="O53" s="104">
        <v>32912.0</v>
      </c>
      <c r="R53" s="104">
        <v>10189.0</v>
      </c>
      <c r="S53" s="104">
        <v>3535.0</v>
      </c>
      <c r="T53" s="104">
        <v>-24499.0</v>
      </c>
    </row>
    <row r="54">
      <c r="A54" s="103">
        <v>2018.0</v>
      </c>
      <c r="B54" s="105">
        <v>101145.0</v>
      </c>
      <c r="C54" s="104">
        <v>5767000.0</v>
      </c>
      <c r="D54" s="104">
        <v>1742000.0</v>
      </c>
      <c r="E54" s="104">
        <v>523420.0</v>
      </c>
      <c r="F54" s="104">
        <v>299000.0</v>
      </c>
      <c r="G54" s="104">
        <v>-6998.0</v>
      </c>
      <c r="H54" s="104">
        <v>124771.0</v>
      </c>
      <c r="I54" s="104">
        <v>60878.0</v>
      </c>
      <c r="J54" s="104">
        <v>-186657.0</v>
      </c>
      <c r="L54" s="104">
        <v>-15000.0</v>
      </c>
      <c r="M54" s="107"/>
      <c r="O54" s="104">
        <v>65233.0</v>
      </c>
      <c r="R54" s="104">
        <v>31660.0</v>
      </c>
      <c r="S54" s="104">
        <v>2394.0</v>
      </c>
      <c r="T54" s="104">
        <v>-45137.0</v>
      </c>
    </row>
    <row r="55">
      <c r="A55" s="103">
        <v>2019.0</v>
      </c>
      <c r="B55" s="105">
        <v>-383481.0</v>
      </c>
      <c r="C55" s="104">
        <v>5814000.0</v>
      </c>
      <c r="D55" s="104">
        <v>1871000.0</v>
      </c>
      <c r="E55" s="104">
        <v>878202.0</v>
      </c>
      <c r="F55" s="104">
        <v>313000.0</v>
      </c>
      <c r="G55" s="104">
        <v>56321.0</v>
      </c>
      <c r="H55" s="104">
        <v>134236.0</v>
      </c>
      <c r="I55" s="104">
        <v>13876.0</v>
      </c>
      <c r="J55" s="104">
        <v>-126176.0</v>
      </c>
      <c r="K55" s="104">
        <v>-7675.0</v>
      </c>
      <c r="L55" s="104">
        <v>58000.0</v>
      </c>
      <c r="M55" s="107"/>
      <c r="O55" s="104">
        <v>73033.0</v>
      </c>
      <c r="R55" s="104">
        <v>62203.0</v>
      </c>
      <c r="S55" s="104">
        <v>4823.0</v>
      </c>
      <c r="T55" s="104">
        <v>-28862.0</v>
      </c>
    </row>
    <row r="56">
      <c r="A56" s="103">
        <v>2020.0</v>
      </c>
      <c r="B56" s="105">
        <v>-3308992.0</v>
      </c>
      <c r="C56" s="104">
        <v>911000.0</v>
      </c>
      <c r="D56" s="104">
        <v>-634000.0</v>
      </c>
      <c r="E56" s="104">
        <v>-31523.0</v>
      </c>
      <c r="F56" s="104">
        <v>-160000.0</v>
      </c>
      <c r="G56" s="104">
        <v>-41943.0</v>
      </c>
      <c r="H56" s="104">
        <v>112081.0</v>
      </c>
      <c r="I56" s="104">
        <v>-143561.0</v>
      </c>
      <c r="J56" s="104">
        <v>-124249.0</v>
      </c>
      <c r="K56" s="104">
        <v>-3074.0</v>
      </c>
      <c r="L56" s="104">
        <v>10000.0</v>
      </c>
      <c r="M56" s="107"/>
      <c r="O56" s="104">
        <v>17432.0</v>
      </c>
      <c r="R56" s="104">
        <v>-55124.0</v>
      </c>
      <c r="S56" s="104">
        <v>5938.0</v>
      </c>
      <c r="T56" s="104">
        <v>3493.0</v>
      </c>
    </row>
    <row r="57">
      <c r="A57" s="103">
        <v>2021.0</v>
      </c>
      <c r="B57" s="105">
        <v>721566.0</v>
      </c>
      <c r="C57" s="104">
        <v>2930000.0</v>
      </c>
      <c r="D57" s="104">
        <v>1076000.0</v>
      </c>
      <c r="E57" s="104">
        <v>-61221.0</v>
      </c>
      <c r="F57" s="104">
        <v>-20000.0</v>
      </c>
      <c r="G57" s="104">
        <v>20840.0</v>
      </c>
      <c r="H57" s="104">
        <v>-48550.0</v>
      </c>
      <c r="I57" s="104">
        <v>-56919.0</v>
      </c>
      <c r="J57" s="104">
        <v>-34267.0</v>
      </c>
      <c r="K57" s="104">
        <v>729.0</v>
      </c>
      <c r="L57" s="104">
        <v>-86000.0</v>
      </c>
      <c r="M57" s="107"/>
      <c r="O57" s="104">
        <v>-45764.0</v>
      </c>
      <c r="R57" s="104">
        <v>117.0</v>
      </c>
      <c r="S57" s="104">
        <v>10690.0</v>
      </c>
      <c r="T57" s="104">
        <v>-6201.0</v>
      </c>
    </row>
    <row r="58">
      <c r="A58" s="103">
        <v>2022.0</v>
      </c>
      <c r="B58" s="105">
        <v>1980300.0</v>
      </c>
      <c r="C58" s="104">
        <v>5354000.0</v>
      </c>
      <c r="D58" s="104">
        <v>1981000.0</v>
      </c>
      <c r="E58" s="104">
        <v>126253.0</v>
      </c>
      <c r="F58" s="104">
        <v>196000.0</v>
      </c>
      <c r="G58" s="104">
        <v>75208.0</v>
      </c>
      <c r="H58" s="104">
        <v>3989.0</v>
      </c>
      <c r="I58" s="104">
        <v>34804.0</v>
      </c>
      <c r="J58" s="104">
        <v>-876.0</v>
      </c>
      <c r="K58" s="104">
        <v>-1452.0</v>
      </c>
      <c r="L58" s="104">
        <v>-14000.0</v>
      </c>
      <c r="M58" s="107"/>
      <c r="O58" s="104">
        <v>-17957.0</v>
      </c>
      <c r="R58" s="104">
        <v>5034.0</v>
      </c>
      <c r="S58" s="104">
        <v>18072.0</v>
      </c>
      <c r="T58" s="104">
        <v>-667.0</v>
      </c>
    </row>
    <row r="59">
      <c r="A59" s="103">
        <v>2023.0</v>
      </c>
      <c r="B59" s="105">
        <v>1562000.0</v>
      </c>
      <c r="C59" s="104">
        <v>6344000.0</v>
      </c>
      <c r="D59" s="104">
        <v>2274000.0</v>
      </c>
      <c r="E59" s="104">
        <v>1699563.0</v>
      </c>
      <c r="F59" s="104">
        <v>238000.0</v>
      </c>
      <c r="G59" s="104">
        <v>48726.0</v>
      </c>
      <c r="H59" s="104">
        <v>25120.0</v>
      </c>
      <c r="I59" s="104">
        <v>101809.0</v>
      </c>
      <c r="J59" s="104">
        <v>50823.0</v>
      </c>
      <c r="K59" s="104">
        <v>4764.0</v>
      </c>
      <c r="L59" s="104">
        <v>78000.0</v>
      </c>
      <c r="M59" s="107"/>
      <c r="O59" s="104">
        <v>85377.0</v>
      </c>
      <c r="R59" s="104">
        <v>34985.0</v>
      </c>
      <c r="S59" s="104">
        <v>22214.0</v>
      </c>
      <c r="T59" s="104">
        <v>3294.0</v>
      </c>
    </row>
    <row r="60">
      <c r="A60" s="103">
        <v>2024.0</v>
      </c>
      <c r="H60" s="104">
        <v>85821.0</v>
      </c>
      <c r="J60" s="104">
        <v>103378.0</v>
      </c>
      <c r="K60" s="104">
        <v>6364.0</v>
      </c>
      <c r="O60" s="104">
        <v>124696.0</v>
      </c>
      <c r="S60" s="104">
        <v>27370.0</v>
      </c>
      <c r="T60" s="104">
        <v>464.0</v>
      </c>
    </row>
    <row r="62">
      <c r="A62" s="103" t="s">
        <v>332</v>
      </c>
    </row>
    <row r="63">
      <c r="A63" s="103">
        <v>1997.0</v>
      </c>
      <c r="D63" s="108">
        <f>D33/D3</f>
        <v>-10.36980306</v>
      </c>
    </row>
    <row r="64">
      <c r="A64" s="103">
        <v>1998.0</v>
      </c>
      <c r="C64" s="108">
        <f t="shared" ref="C64:D64" si="1">C34/C4</f>
        <v>-1.502738599</v>
      </c>
      <c r="D64" s="108">
        <f t="shared" si="1"/>
        <v>-2.077674116</v>
      </c>
    </row>
    <row r="65">
      <c r="A65" s="103">
        <v>1999.0</v>
      </c>
      <c r="C65" s="108">
        <f t="shared" ref="C65:D65" si="2">C35/C5</f>
        <v>-0.1203146701</v>
      </c>
      <c r="D65" s="108">
        <f t="shared" si="2"/>
        <v>-0.4864208377</v>
      </c>
    </row>
    <row r="66">
      <c r="A66" s="103">
        <v>2000.0</v>
      </c>
      <c r="C66" s="108">
        <f t="shared" ref="C66:E66" si="3">C36/C6</f>
        <v>-0.02551813346</v>
      </c>
      <c r="D66" s="108">
        <f t="shared" si="3"/>
        <v>-1.155551563</v>
      </c>
      <c r="E66" s="108">
        <f t="shared" si="3"/>
        <v>-4.780769231</v>
      </c>
    </row>
    <row r="67">
      <c r="A67" s="103">
        <v>2001.0</v>
      </c>
      <c r="C67" s="108">
        <f t="shared" ref="C67:E67" si="4">C37/C7</f>
        <v>0.005760599717</v>
      </c>
      <c r="D67" s="108">
        <f t="shared" si="4"/>
        <v>-0.05839708397</v>
      </c>
      <c r="E67" s="108">
        <f t="shared" si="4"/>
        <v>-0.372036131</v>
      </c>
      <c r="O67" s="108">
        <f t="shared" ref="O67:O90" si="6">O37/O7</f>
        <v>-6.45323741</v>
      </c>
    </row>
    <row r="68">
      <c r="A68" s="103">
        <v>2002.0</v>
      </c>
      <c r="C68" s="108">
        <f t="shared" ref="C68:E68" si="5">C38/C8</f>
        <v>0.02257260319</v>
      </c>
      <c r="D68" s="108">
        <f t="shared" si="5"/>
        <v>0.1717058853</v>
      </c>
      <c r="E68" s="108">
        <f t="shared" si="5"/>
        <v>0.2718263718</v>
      </c>
      <c r="O68" s="108">
        <f t="shared" si="6"/>
        <v>-0.06201318155</v>
      </c>
    </row>
    <row r="69">
      <c r="A69" s="103">
        <v>2003.0</v>
      </c>
      <c r="C69" s="108">
        <f t="shared" ref="C69:E69" si="7">C39/C9</f>
        <v>0.03010787798</v>
      </c>
      <c r="D69" s="108">
        <f t="shared" si="7"/>
        <v>0.1564342962</v>
      </c>
      <c r="E69" s="108">
        <f t="shared" si="7"/>
        <v>0.3597863942</v>
      </c>
      <c r="O69" s="108">
        <f t="shared" si="6"/>
        <v>-0.4621212121</v>
      </c>
    </row>
    <row r="70">
      <c r="A70" s="103">
        <v>2004.0</v>
      </c>
      <c r="C70" s="108">
        <f t="shared" ref="C70:E70" si="8">C40/C10</f>
        <v>0.04899428241</v>
      </c>
      <c r="D70" s="108">
        <f t="shared" si="8"/>
        <v>0.2222610475</v>
      </c>
      <c r="E70" s="108">
        <f t="shared" si="8"/>
        <v>0.4157267634</v>
      </c>
      <c r="O70" s="108">
        <f t="shared" si="6"/>
        <v>-0.6942482341</v>
      </c>
    </row>
    <row r="71">
      <c r="A71" s="103">
        <v>2005.0</v>
      </c>
      <c r="C71" s="108">
        <f t="shared" ref="C71:E71" si="9">C41/C11</f>
        <v>0.06736334739</v>
      </c>
      <c r="D71" s="108">
        <f t="shared" si="9"/>
        <v>0.270618626</v>
      </c>
      <c r="E71" s="108">
        <f t="shared" si="9"/>
        <v>0.4617517945</v>
      </c>
      <c r="O71" s="108">
        <f t="shared" si="6"/>
        <v>0.3253132832</v>
      </c>
    </row>
    <row r="72">
      <c r="A72" s="103">
        <v>2006.0</v>
      </c>
      <c r="C72" s="108">
        <f t="shared" ref="C72:E72" si="10">C42/C12</f>
        <v>0.08638655582</v>
      </c>
      <c r="D72" s="108">
        <f t="shared" si="10"/>
        <v>0.2493195792</v>
      </c>
      <c r="E72" s="108">
        <f t="shared" si="10"/>
        <v>0.3547253615</v>
      </c>
      <c r="O72" s="108">
        <f t="shared" si="6"/>
        <v>0.3339941691</v>
      </c>
    </row>
    <row r="73">
      <c r="A73" s="103">
        <v>2007.0</v>
      </c>
      <c r="C73" s="108">
        <f t="shared" ref="C73:E73" si="11">C43/C13</f>
        <v>0.1637459389</v>
      </c>
      <c r="D73" s="108">
        <f t="shared" si="11"/>
        <v>0.2499365933</v>
      </c>
      <c r="E73" s="108">
        <f t="shared" si="11"/>
        <v>0.3774283838</v>
      </c>
      <c r="O73" s="108">
        <f t="shared" si="6"/>
        <v>0.2679719026</v>
      </c>
    </row>
    <row r="74">
      <c r="A74" s="103">
        <v>2008.0</v>
      </c>
      <c r="C74" s="108">
        <f t="shared" ref="C74:E74" si="12">C44/C14</f>
        <v>0.1764330122</v>
      </c>
      <c r="D74" s="108">
        <f t="shared" si="12"/>
        <v>0.2428600078</v>
      </c>
      <c r="E74" s="108">
        <f t="shared" si="12"/>
        <v>0.36068446</v>
      </c>
      <c r="O74" s="108">
        <f t="shared" si="6"/>
        <v>0.3518812931</v>
      </c>
    </row>
    <row r="75">
      <c r="A75" s="103">
        <v>2009.0</v>
      </c>
      <c r="C75" s="108">
        <f t="shared" ref="C75:F75" si="13">C45/C15</f>
        <v>0.2181273554</v>
      </c>
      <c r="D75" s="108">
        <f t="shared" si="13"/>
        <v>0.2250184193</v>
      </c>
      <c r="E75" s="108">
        <f t="shared" si="13"/>
        <v>0.3912034954</v>
      </c>
      <c r="F75" s="108">
        <f t="shared" si="13"/>
        <v>0.5433682961</v>
      </c>
      <c r="J75" s="108">
        <f t="shared" ref="J75:J80" si="15">J45/J15</f>
        <v>-0.1286760415</v>
      </c>
      <c r="O75" s="108">
        <f t="shared" si="6"/>
        <v>0.3413488716</v>
      </c>
    </row>
    <row r="76">
      <c r="A76" s="103">
        <v>2010.0</v>
      </c>
      <c r="C76" s="108">
        <f t="shared" ref="C76:F76" si="14">C46/C16</f>
        <v>0.2714057645</v>
      </c>
      <c r="D76" s="108">
        <f t="shared" si="14"/>
        <v>0.2147660652</v>
      </c>
      <c r="E76" s="108">
        <f t="shared" si="14"/>
        <v>0.4113346415</v>
      </c>
      <c r="F76" s="108">
        <f t="shared" si="14"/>
        <v>0.5236518204</v>
      </c>
      <c r="J76" s="108">
        <f t="shared" si="15"/>
        <v>-0.05282431786</v>
      </c>
      <c r="O76" s="108">
        <f t="shared" si="6"/>
        <v>0.3522888826</v>
      </c>
    </row>
    <row r="77">
      <c r="A77" s="103">
        <v>2011.0</v>
      </c>
      <c r="C77" s="108">
        <f t="shared" ref="C77:F77" si="16">C47/C17</f>
        <v>0.3335344533</v>
      </c>
      <c r="D77" s="108">
        <f t="shared" si="16"/>
        <v>0.1900250188</v>
      </c>
      <c r="E77" s="108">
        <f t="shared" si="16"/>
        <v>0.3522114178</v>
      </c>
      <c r="F77" s="108">
        <f t="shared" si="16"/>
        <v>0.4796605673</v>
      </c>
      <c r="J77" s="108">
        <f t="shared" si="15"/>
        <v>0.04856439573</v>
      </c>
      <c r="O77" s="108">
        <f t="shared" si="6"/>
        <v>0.3135397511</v>
      </c>
      <c r="R77" s="108"/>
    </row>
    <row r="78">
      <c r="A78" s="103">
        <v>2012.0</v>
      </c>
      <c r="C78" s="108">
        <f t="shared" ref="C78:F78" si="17">C48/C18</f>
        <v>0.3601881483</v>
      </c>
      <c r="D78" s="108">
        <f t="shared" si="17"/>
        <v>0.1847734203</v>
      </c>
      <c r="E78" s="108">
        <f t="shared" si="17"/>
        <v>0.2060806649</v>
      </c>
      <c r="F78" s="108">
        <f t="shared" si="17"/>
        <v>0.4220183486</v>
      </c>
      <c r="H78" s="108">
        <f t="shared" ref="H78:H79" si="19">H48/H18</f>
        <v>0.2123570757</v>
      </c>
      <c r="J78" s="108">
        <f t="shared" si="15"/>
        <v>0.03492388059</v>
      </c>
      <c r="O78" s="108">
        <f t="shared" si="6"/>
        <v>0.315994555</v>
      </c>
      <c r="R78" s="108">
        <f t="shared" ref="R78:R89" si="20">R48/R18</f>
        <v>0.1508370293</v>
      </c>
    </row>
    <row r="79">
      <c r="A79" s="103">
        <v>2013.0</v>
      </c>
      <c r="C79" s="108">
        <f t="shared" ref="C79:F79" si="18">C49/C19</f>
        <v>0.3724827058</v>
      </c>
      <c r="D79" s="108">
        <f t="shared" si="18"/>
        <v>0.1663975902</v>
      </c>
      <c r="E79" s="108">
        <f t="shared" si="18"/>
        <v>0.202275866</v>
      </c>
      <c r="F79" s="108">
        <f t="shared" si="18"/>
        <v>0.3492063492</v>
      </c>
      <c r="H79" s="108">
        <f t="shared" si="19"/>
        <v>0.2093677685</v>
      </c>
      <c r="J79" s="108">
        <f t="shared" si="15"/>
        <v>-0.0622274082</v>
      </c>
      <c r="O79" s="108">
        <f t="shared" si="6"/>
        <v>0.1610695528</v>
      </c>
      <c r="R79" s="108">
        <f t="shared" si="20"/>
        <v>0.1704938104</v>
      </c>
    </row>
    <row r="80">
      <c r="A80" s="103">
        <v>2014.0</v>
      </c>
      <c r="C80" s="108">
        <f t="shared" ref="C80:H80" si="21">C50/C20</f>
        <v>0.3886689495</v>
      </c>
      <c r="D80" s="108">
        <f t="shared" si="21"/>
        <v>0.1614240342</v>
      </c>
      <c r="E80" s="108">
        <f t="shared" si="21"/>
        <v>0.004263442253</v>
      </c>
      <c r="F80" s="108">
        <f t="shared" si="21"/>
        <v>0.3282504013</v>
      </c>
      <c r="G80" s="108">
        <f t="shared" si="21"/>
        <v>-0.000870699755</v>
      </c>
      <c r="H80" s="108">
        <f t="shared" si="21"/>
        <v>0.1739067228</v>
      </c>
      <c r="J80" s="108">
        <f t="shared" si="15"/>
        <v>-0.03784940536</v>
      </c>
      <c r="O80" s="108">
        <f t="shared" si="6"/>
        <v>0.2423081476</v>
      </c>
      <c r="R80" s="108">
        <f t="shared" si="20"/>
        <v>0.1622855926</v>
      </c>
    </row>
    <row r="81">
      <c r="A81" s="103">
        <v>2015.0</v>
      </c>
      <c r="B81" s="108">
        <f t="shared" ref="B81:J81" si="22">B51/B21</f>
        <v>-0.13459356</v>
      </c>
      <c r="C81" s="108">
        <f t="shared" si="22"/>
        <v>0.3828497373</v>
      </c>
      <c r="D81" s="108">
        <f t="shared" si="22"/>
        <v>0.1370131245</v>
      </c>
      <c r="E81" s="108">
        <f t="shared" si="22"/>
        <v>0.06398295392</v>
      </c>
      <c r="F81" s="108">
        <f t="shared" si="22"/>
        <v>0.2178284182</v>
      </c>
      <c r="G81" s="108">
        <f t="shared" si="22"/>
        <v>-0.03048513559</v>
      </c>
      <c r="H81" s="108" t="str">
        <f t="shared" si="22"/>
        <v>#VALUE!</v>
      </c>
      <c r="I81" s="108">
        <f t="shared" si="22"/>
        <v>-0.09468095449</v>
      </c>
      <c r="J81" s="108">
        <f t="shared" si="22"/>
        <v>-0.02157629403</v>
      </c>
      <c r="O81" s="108">
        <f t="shared" si="6"/>
        <v>0.2472404975</v>
      </c>
      <c r="R81" s="108">
        <f t="shared" si="20"/>
        <v>-0.04376519753</v>
      </c>
    </row>
    <row r="82">
      <c r="A82" s="103">
        <v>2016.0</v>
      </c>
      <c r="B82" s="108">
        <f t="shared" ref="B82:J82" si="23">B52/B22</f>
        <v>-0.08033035028</v>
      </c>
      <c r="C82" s="108">
        <f t="shared" si="23"/>
        <v>0.3868691241</v>
      </c>
      <c r="D82" s="108">
        <f t="shared" si="23"/>
        <v>0.1548630636</v>
      </c>
      <c r="E82" s="108">
        <f t="shared" si="23"/>
        <v>-0.04418667019</v>
      </c>
      <c r="F82" s="108">
        <f t="shared" si="23"/>
        <v>0.1810810811</v>
      </c>
      <c r="G82" s="108">
        <f t="shared" si="23"/>
        <v>-0.02845393971</v>
      </c>
      <c r="H82" s="108">
        <f t="shared" si="23"/>
        <v>0.1861945789</v>
      </c>
      <c r="I82" s="108">
        <f t="shared" si="23"/>
        <v>0.1167690594</v>
      </c>
      <c r="J82" s="108">
        <f t="shared" si="23"/>
        <v>-0.1647264054</v>
      </c>
      <c r="L82" s="108">
        <f t="shared" ref="L82:L84" si="25">L52/L22</f>
        <v>0.5067264574</v>
      </c>
      <c r="O82" s="108">
        <f t="shared" si="6"/>
        <v>0.2379353939</v>
      </c>
      <c r="R82" s="108">
        <f t="shared" si="20"/>
        <v>0.08996597529</v>
      </c>
    </row>
    <row r="83">
      <c r="A83" s="103">
        <v>2017.0</v>
      </c>
      <c r="B83" s="108">
        <f t="shared" ref="B83:J83" si="24">B53/B23</f>
        <v>-0.0007885323968</v>
      </c>
      <c r="C83" s="108">
        <f t="shared" si="24"/>
        <v>0.3886128854</v>
      </c>
      <c r="D83" s="108">
        <f t="shared" si="24"/>
        <v>0.1547570718</v>
      </c>
      <c r="E83" s="108">
        <f t="shared" si="24"/>
        <v>0.1422490471</v>
      </c>
      <c r="F83" s="108">
        <f t="shared" si="24"/>
        <v>0.1516709512</v>
      </c>
      <c r="G83" s="108">
        <f t="shared" si="24"/>
        <v>-0.009026893038</v>
      </c>
      <c r="H83" s="108">
        <f t="shared" si="24"/>
        <v>0.2056306891</v>
      </c>
      <c r="I83" s="108">
        <f t="shared" si="24"/>
        <v>0.1623563767</v>
      </c>
      <c r="J83" s="108">
        <f t="shared" si="24"/>
        <v>-0.235812393</v>
      </c>
      <c r="L83" s="108">
        <f t="shared" si="25"/>
        <v>0.3247663551</v>
      </c>
      <c r="O83" s="108">
        <f t="shared" si="6"/>
        <v>0.207005428</v>
      </c>
      <c r="R83" s="108">
        <f t="shared" si="20"/>
        <v>0.0328238004</v>
      </c>
      <c r="S83" s="108">
        <f t="shared" ref="S83:T83" si="26">S53/S23</f>
        <v>0.1793505835</v>
      </c>
      <c r="T83" s="108">
        <f t="shared" si="26"/>
        <v>-0.1691149062</v>
      </c>
    </row>
    <row r="84">
      <c r="A84" s="103">
        <v>2018.0</v>
      </c>
      <c r="B84" s="108">
        <f t="shared" ref="B84:J84" si="27">B54/B24</f>
        <v>0.02769589689</v>
      </c>
      <c r="C84" s="108">
        <f t="shared" si="27"/>
        <v>0.3969849246</v>
      </c>
      <c r="D84" s="108">
        <f t="shared" si="27"/>
        <v>0.1552169652</v>
      </c>
      <c r="E84" s="108">
        <f t="shared" si="27"/>
        <v>0.1158403783</v>
      </c>
      <c r="F84" s="108">
        <f t="shared" si="27"/>
        <v>0.1851393189</v>
      </c>
      <c r="G84" s="108">
        <f t="shared" si="27"/>
        <v>-0.006680891486</v>
      </c>
      <c r="H84" s="108">
        <f t="shared" si="27"/>
        <v>0.1977522641</v>
      </c>
      <c r="I84" s="108">
        <f t="shared" si="27"/>
        <v>0.1147312359</v>
      </c>
      <c r="J84" s="108">
        <f t="shared" si="27"/>
        <v>-0.2762460947</v>
      </c>
      <c r="L84" s="108">
        <f t="shared" si="25"/>
        <v>-0.03937007874</v>
      </c>
      <c r="O84" s="108">
        <f t="shared" si="6"/>
        <v>0.1159203184</v>
      </c>
      <c r="R84" s="108">
        <f t="shared" si="20"/>
        <v>0.09504967141</v>
      </c>
      <c r="S84" s="108">
        <f t="shared" ref="S84:T84" si="28">S54/S24</f>
        <v>0.06183969209</v>
      </c>
      <c r="T84" s="108">
        <f t="shared" si="28"/>
        <v>-0.2379714668</v>
      </c>
    </row>
    <row r="85">
      <c r="A85" s="103">
        <v>2019.0</v>
      </c>
      <c r="B85" s="108">
        <f t="shared" ref="B85:L85" si="29">B55/B25</f>
        <v>-0.07980477142</v>
      </c>
      <c r="C85" s="108">
        <f t="shared" si="29"/>
        <v>0.3859020311</v>
      </c>
      <c r="D85" s="108">
        <f t="shared" si="29"/>
        <v>0.1550509654</v>
      </c>
      <c r="E85" s="108">
        <f t="shared" si="29"/>
        <v>0.1720405209</v>
      </c>
      <c r="F85" s="108">
        <f t="shared" si="29"/>
        <v>0.2006410256</v>
      </c>
      <c r="G85" s="108">
        <f t="shared" si="29"/>
        <v>0.05978227411</v>
      </c>
      <c r="H85" s="108">
        <f t="shared" si="29"/>
        <v>0.2167166068</v>
      </c>
      <c r="I85" s="108">
        <f t="shared" si="29"/>
        <v>0.02643672029</v>
      </c>
      <c r="J85" s="108">
        <f t="shared" si="29"/>
        <v>-0.2595263463</v>
      </c>
      <c r="K85" s="108">
        <f t="shared" si="29"/>
        <v>-1.305272109</v>
      </c>
      <c r="L85" s="108">
        <f t="shared" si="29"/>
        <v>0.1705882353</v>
      </c>
      <c r="O85" s="108">
        <f t="shared" si="6"/>
        <v>0.2874251261</v>
      </c>
      <c r="R85" s="108">
        <f t="shared" si="20"/>
        <v>0.1586341797</v>
      </c>
      <c r="S85" s="108">
        <f t="shared" ref="S85:T85" si="30">S55/S25</f>
        <v>0.1699136868</v>
      </c>
      <c r="T85" s="108">
        <f t="shared" si="30"/>
        <v>-0.2074775895</v>
      </c>
    </row>
    <row r="86">
      <c r="A86" s="103">
        <v>2020.0</v>
      </c>
      <c r="B86" s="108">
        <f t="shared" ref="B86:L86" si="31">B56/B26</f>
        <v>-0.9795136403</v>
      </c>
      <c r="C86" s="108">
        <f t="shared" si="31"/>
        <v>0.1340494408</v>
      </c>
      <c r="D86" s="108">
        <f t="shared" si="31"/>
        <v>-0.1219465282</v>
      </c>
      <c r="E86" s="108">
        <f t="shared" si="31"/>
        <v>-0.01124697936</v>
      </c>
      <c r="F86" s="108">
        <f t="shared" si="31"/>
        <v>-0.2649006623</v>
      </c>
      <c r="G86" s="108">
        <f t="shared" si="31"/>
        <v>-0.1373149867</v>
      </c>
      <c r="H86" s="108">
        <f t="shared" si="31"/>
        <v>0.1821075413</v>
      </c>
      <c r="I86" s="108">
        <f t="shared" si="31"/>
        <v>-1.093098512</v>
      </c>
      <c r="J86" s="108">
        <f t="shared" si="31"/>
        <v>-0.2427250279</v>
      </c>
      <c r="K86" s="108">
        <f t="shared" si="31"/>
        <v>-0.2066276803</v>
      </c>
      <c r="L86" s="108">
        <f t="shared" si="31"/>
        <v>0.1219512195</v>
      </c>
      <c r="O86" s="108">
        <f t="shared" si="6"/>
        <v>0.09516686411</v>
      </c>
      <c r="R86" s="108">
        <f t="shared" si="20"/>
        <v>-0.4275630982</v>
      </c>
      <c r="S86" s="108">
        <f t="shared" ref="S86:T86" si="32">S56/S26</f>
        <v>0.2628015048</v>
      </c>
      <c r="T86" s="108">
        <f t="shared" si="32"/>
        <v>0.03549327833</v>
      </c>
    </row>
    <row r="87">
      <c r="A87" s="103">
        <v>2021.0</v>
      </c>
      <c r="B87" s="108">
        <f t="shared" ref="B87:L87" si="33">B57/B27</f>
        <v>0.1204263856</v>
      </c>
      <c r="C87" s="108">
        <f t="shared" si="33"/>
        <v>0.2673845592</v>
      </c>
      <c r="D87" s="108">
        <f t="shared" si="33"/>
        <v>0.1251453826</v>
      </c>
      <c r="E87" s="108">
        <f t="shared" si="33"/>
        <v>-0.01947771187</v>
      </c>
      <c r="F87" s="108">
        <f t="shared" si="33"/>
        <v>-0.022172949</v>
      </c>
      <c r="G87" s="108">
        <f t="shared" si="33"/>
        <v>0.0509043833</v>
      </c>
      <c r="H87" s="108">
        <f t="shared" si="33"/>
        <v>-0.3863630938</v>
      </c>
      <c r="I87" s="108">
        <f t="shared" si="33"/>
        <v>-0.1763055107</v>
      </c>
      <c r="J87" s="108">
        <f t="shared" si="33"/>
        <v>-0.2050540955</v>
      </c>
      <c r="K87" s="108">
        <f t="shared" si="33"/>
        <v>0.03899855561</v>
      </c>
      <c r="L87" s="108">
        <f t="shared" si="33"/>
        <v>-0.5308641975</v>
      </c>
      <c r="O87" s="108">
        <f t="shared" si="6"/>
        <v>-1.555540449</v>
      </c>
      <c r="R87" s="108">
        <f t="shared" si="20"/>
        <v>0.0006276015964</v>
      </c>
      <c r="S87" s="108">
        <f t="shared" ref="S87:T87" si="34">S57/S27</f>
        <v>0.5620104095</v>
      </c>
      <c r="T87" s="108">
        <f t="shared" si="34"/>
        <v>-0.324812739</v>
      </c>
    </row>
    <row r="88">
      <c r="A88" s="103">
        <v>2022.0</v>
      </c>
      <c r="B88" s="108">
        <f t="shared" ref="B88:L88" si="35">B58/B28</f>
        <v>0.2357780688</v>
      </c>
      <c r="C88" s="108">
        <f t="shared" si="35"/>
        <v>0.3132826214</v>
      </c>
      <c r="D88" s="108">
        <f t="shared" si="35"/>
        <v>0.1697951487</v>
      </c>
      <c r="E88" s="108">
        <f t="shared" si="35"/>
        <v>0.04401434781</v>
      </c>
      <c r="F88" s="108">
        <f t="shared" si="35"/>
        <v>0.1313672922</v>
      </c>
      <c r="G88" s="108">
        <f t="shared" si="35"/>
        <v>0.1317970331</v>
      </c>
      <c r="H88" s="108">
        <f t="shared" si="35"/>
        <v>0.008783132159</v>
      </c>
      <c r="I88" s="108">
        <f t="shared" si="35"/>
        <v>0.06469481683</v>
      </c>
      <c r="J88" s="108">
        <f t="shared" si="35"/>
        <v>-0.002849651601</v>
      </c>
      <c r="K88" s="108">
        <f t="shared" si="35"/>
        <v>-0.02891681437</v>
      </c>
      <c r="L88" s="108">
        <f t="shared" si="35"/>
        <v>-0.05691056911</v>
      </c>
      <c r="O88" s="108">
        <f t="shared" si="6"/>
        <v>-0.1730378222</v>
      </c>
      <c r="R88" s="108">
        <f t="shared" si="20"/>
        <v>0.01534204158</v>
      </c>
      <c r="S88" s="108">
        <f t="shared" ref="S88:T88" si="36">S58/S28</f>
        <v>0.5757614375</v>
      </c>
      <c r="T88" s="108">
        <f t="shared" si="36"/>
        <v>-0.02353979178</v>
      </c>
    </row>
    <row r="89">
      <c r="A89" s="103">
        <v>2023.0</v>
      </c>
      <c r="B89" s="108">
        <f t="shared" ref="B89:L89" si="37">B59/B29</f>
        <v>0.1575073107</v>
      </c>
      <c r="C89" s="108">
        <f t="shared" si="37"/>
        <v>0.2969342382</v>
      </c>
      <c r="D89" s="108">
        <f t="shared" si="37"/>
        <v>0.1771165979</v>
      </c>
      <c r="E89" s="108">
        <f t="shared" si="37"/>
        <v>0.2727701247</v>
      </c>
      <c r="F89" s="108">
        <f t="shared" si="37"/>
        <v>0.1331096197</v>
      </c>
      <c r="G89" s="108">
        <f t="shared" si="37"/>
        <v>0.09091367064</v>
      </c>
      <c r="H89" s="108">
        <f t="shared" si="37"/>
        <v>0.03910701498</v>
      </c>
      <c r="I89" s="108">
        <f t="shared" si="37"/>
        <v>0.1441972126</v>
      </c>
      <c r="J89" s="108">
        <f t="shared" si="37"/>
        <v>0.08532259337</v>
      </c>
      <c r="K89" s="108">
        <f t="shared" si="37"/>
        <v>0.07808939958</v>
      </c>
      <c r="L89" s="108">
        <f t="shared" si="37"/>
        <v>0.2068965517</v>
      </c>
      <c r="M89" s="108"/>
      <c r="N89" s="108"/>
      <c r="O89" s="108">
        <f t="shared" si="6"/>
        <v>0.3490688309</v>
      </c>
      <c r="P89" s="108"/>
      <c r="Q89" s="108"/>
      <c r="R89" s="108">
        <f t="shared" si="20"/>
        <v>0.09656575359</v>
      </c>
      <c r="S89" s="108">
        <f t="shared" ref="S89:T89" si="38">S59/S29</f>
        <v>0.4007143373</v>
      </c>
      <c r="T89" s="108">
        <f t="shared" si="38"/>
        <v>0.06804941536</v>
      </c>
    </row>
    <row r="90">
      <c r="A90" s="103">
        <v>2024.0</v>
      </c>
      <c r="B90" s="108"/>
      <c r="H90" s="108">
        <f>H60/H30</f>
        <v>0.1220317148</v>
      </c>
      <c r="J90" s="108">
        <f t="shared" ref="J90:K90" si="39">J60/J30</f>
        <v>0.1320007866</v>
      </c>
      <c r="K90" s="108">
        <f t="shared" si="39"/>
        <v>0.07977736549</v>
      </c>
      <c r="O90" s="108">
        <f t="shared" si="6"/>
        <v>0.3968821315</v>
      </c>
      <c r="S90" s="108">
        <f t="shared" ref="S90:T90" si="40">S60/S30</f>
        <v>0.3746543653</v>
      </c>
      <c r="T90" s="108">
        <f t="shared" si="40"/>
        <v>0.009012858863</v>
      </c>
    </row>
    <row r="91">
      <c r="B91" s="108"/>
      <c r="J91" s="108"/>
    </row>
    <row r="92">
      <c r="B92" s="108"/>
    </row>
    <row r="93">
      <c r="B93" s="108"/>
    </row>
    <row r="94">
      <c r="B94" s="108"/>
    </row>
    <row r="95">
      <c r="B95" s="108"/>
    </row>
    <row r="96">
      <c r="B96" s="108"/>
    </row>
    <row r="97">
      <c r="B97" s="108"/>
    </row>
    <row r="98">
      <c r="B98" s="108"/>
    </row>
    <row r="99">
      <c r="B99" s="108"/>
    </row>
    <row r="100">
      <c r="B100" s="108"/>
    </row>
    <row r="101">
      <c r="B101" s="108"/>
    </row>
    <row r="102">
      <c r="B102" s="108"/>
    </row>
    <row r="103">
      <c r="B103" s="108"/>
    </row>
    <row r="104">
      <c r="B104" s="108"/>
    </row>
    <row r="105">
      <c r="B105" s="108"/>
    </row>
    <row r="106">
      <c r="B106" s="108"/>
    </row>
  </sheetData>
  <conditionalFormatting sqref="D3:D29 C4:C29 E6:E29 O7:O32 F15:F29 J15:J30 L15:L29 H18:H31 R18:R29 G20:G29 B21:B29 I21:I29 S23:T30 K25:K30 D33:D59 C34:C59 E36:E59 O37:O60 F45:F59 J45:J60 H48:H60 R48:R59 G50:G59 B51:B59 I51:I59 L52:L59 S53:T60 K55:K60">
    <cfRule type="colorScale" priority="1">
      <colorScale>
        <cfvo type="min"/>
        <cfvo type="max"/>
        <color rgb="FFFFFFFF"/>
        <color rgb="FF57BB8A"/>
      </colorScale>
    </cfRule>
  </conditionalFormatting>
  <conditionalFormatting sqref="D63:D89 C64:C89 E66:E89 O67:O90 F75:F89 J75:J91 R77:R89 H78:H90 G80:G89 B81:B106 I81:I89 L82:L89 S83:T90 K85:K90 M89:N89 P89:Q89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9999"/>
    <outlinePr summaryBelow="0" summaryRight="0"/>
  </sheetPr>
  <sheetViews>
    <sheetView workbookViewId="0"/>
  </sheetViews>
  <sheetFormatPr customHeight="1" defaultColWidth="12.63" defaultRowHeight="15.75"/>
  <cols>
    <col customWidth="1" min="3" max="3" width="22.5"/>
    <col customWidth="1" min="4" max="4" width="22.38"/>
  </cols>
  <sheetData>
    <row r="1">
      <c r="A1" s="109" t="s">
        <v>333</v>
      </c>
      <c r="B1" s="109" t="s">
        <v>145</v>
      </c>
      <c r="C1" s="110" t="s">
        <v>334</v>
      </c>
      <c r="D1" s="110" t="s">
        <v>332</v>
      </c>
      <c r="E1" s="109" t="s">
        <v>323</v>
      </c>
    </row>
    <row r="2">
      <c r="A2" s="111" t="s">
        <v>1</v>
      </c>
      <c r="B2" s="112" t="s">
        <v>335</v>
      </c>
      <c r="C2" s="113"/>
      <c r="D2" s="113"/>
    </row>
    <row r="3">
      <c r="A3" s="111" t="s">
        <v>1</v>
      </c>
      <c r="B3" s="112" t="s">
        <v>336</v>
      </c>
      <c r="C3" s="113"/>
      <c r="D3" s="113"/>
    </row>
    <row r="4">
      <c r="A4" s="111" t="s">
        <v>1</v>
      </c>
      <c r="B4" s="112" t="s">
        <v>337</v>
      </c>
      <c r="C4" s="113"/>
      <c r="D4" s="113"/>
    </row>
    <row r="5">
      <c r="A5" s="111" t="s">
        <v>1</v>
      </c>
      <c r="B5" s="112" t="s">
        <v>338</v>
      </c>
      <c r="C5" s="113"/>
      <c r="D5" s="113"/>
    </row>
    <row r="6">
      <c r="A6" s="111" t="s">
        <v>1</v>
      </c>
      <c r="B6" s="112" t="s">
        <v>339</v>
      </c>
      <c r="C6" s="113"/>
      <c r="D6" s="113"/>
    </row>
    <row r="7">
      <c r="A7" s="111" t="s">
        <v>1</v>
      </c>
      <c r="B7" s="112" t="s">
        <v>340</v>
      </c>
      <c r="C7" s="113"/>
      <c r="D7" s="113"/>
    </row>
    <row r="8">
      <c r="A8" s="111" t="s">
        <v>1</v>
      </c>
      <c r="B8" s="112" t="s">
        <v>341</v>
      </c>
      <c r="C8" s="113"/>
      <c r="D8" s="113"/>
    </row>
    <row r="9">
      <c r="A9" s="111" t="s">
        <v>1</v>
      </c>
      <c r="B9" s="112" t="s">
        <v>342</v>
      </c>
      <c r="C9" s="113"/>
      <c r="D9" s="113"/>
    </row>
    <row r="10">
      <c r="A10" s="111" t="s">
        <v>1</v>
      </c>
      <c r="B10" s="112" t="s">
        <v>343</v>
      </c>
      <c r="C10" s="113"/>
      <c r="D10" s="113"/>
    </row>
    <row r="11">
      <c r="A11" s="111" t="s">
        <v>1</v>
      </c>
      <c r="B11" s="112" t="s">
        <v>344</v>
      </c>
      <c r="C11" s="113"/>
      <c r="D11" s="113"/>
    </row>
    <row r="12">
      <c r="A12" s="111" t="s">
        <v>1</v>
      </c>
      <c r="B12" s="112" t="s">
        <v>345</v>
      </c>
      <c r="C12" s="113"/>
      <c r="D12" s="113"/>
    </row>
    <row r="13">
      <c r="A13" s="111" t="s">
        <v>1</v>
      </c>
      <c r="B13" s="112" t="s">
        <v>346</v>
      </c>
      <c r="C13" s="113"/>
      <c r="D13" s="113"/>
    </row>
    <row r="14">
      <c r="A14" s="111" t="s">
        <v>1</v>
      </c>
      <c r="B14" s="112" t="s">
        <v>347</v>
      </c>
      <c r="C14" s="113"/>
      <c r="D14" s="113"/>
    </row>
    <row r="15">
      <c r="A15" s="111" t="s">
        <v>1</v>
      </c>
      <c r="B15" s="112" t="s">
        <v>348</v>
      </c>
      <c r="C15" s="113"/>
      <c r="D15" s="113"/>
    </row>
    <row r="16">
      <c r="A16" s="111" t="s">
        <v>1</v>
      </c>
      <c r="B16" s="112" t="s">
        <v>349</v>
      </c>
      <c r="C16" s="113"/>
      <c r="D16" s="113"/>
    </row>
    <row r="17">
      <c r="A17" s="111" t="s">
        <v>1</v>
      </c>
      <c r="B17" s="112" t="s">
        <v>350</v>
      </c>
      <c r="C17" s="113"/>
      <c r="D17" s="113"/>
    </row>
    <row r="18">
      <c r="A18" s="111" t="s">
        <v>1</v>
      </c>
      <c r="B18" s="112" t="s">
        <v>351</v>
      </c>
      <c r="C18" s="113"/>
      <c r="D18" s="113"/>
    </row>
    <row r="19">
      <c r="A19" s="111" t="s">
        <v>1</v>
      </c>
      <c r="B19" s="112" t="s">
        <v>352</v>
      </c>
      <c r="C19" s="113"/>
      <c r="D19" s="113"/>
    </row>
    <row r="20">
      <c r="A20" s="111" t="s">
        <v>1</v>
      </c>
      <c r="B20" s="112" t="s">
        <v>353</v>
      </c>
      <c r="C20" s="113"/>
      <c r="D20" s="113"/>
    </row>
    <row r="21">
      <c r="A21" s="111" t="s">
        <v>1</v>
      </c>
      <c r="B21" s="112" t="s">
        <v>354</v>
      </c>
      <c r="C21" s="113"/>
      <c r="D21" s="113"/>
    </row>
    <row r="22">
      <c r="A22" s="111" t="s">
        <v>1</v>
      </c>
      <c r="B22" s="112" t="s">
        <v>355</v>
      </c>
      <c r="C22" s="113"/>
      <c r="D22" s="113"/>
    </row>
    <row r="23">
      <c r="A23" s="111" t="s">
        <v>1</v>
      </c>
      <c r="B23" s="112" t="s">
        <v>356</v>
      </c>
      <c r="C23" s="113"/>
      <c r="D23" s="113"/>
    </row>
    <row r="24">
      <c r="A24" s="111" t="s">
        <v>1</v>
      </c>
      <c r="B24" s="112" t="s">
        <v>357</v>
      </c>
      <c r="C24" s="113"/>
      <c r="D24" s="113"/>
    </row>
    <row r="25">
      <c r="A25" s="111" t="s">
        <v>1</v>
      </c>
      <c r="B25" s="112" t="s">
        <v>358</v>
      </c>
      <c r="C25" s="113"/>
      <c r="D25" s="113"/>
    </row>
    <row r="26">
      <c r="A26" s="111" t="s">
        <v>1</v>
      </c>
      <c r="B26" s="112" t="s">
        <v>359</v>
      </c>
      <c r="C26" s="113"/>
      <c r="D26" s="113"/>
    </row>
    <row r="27">
      <c r="A27" s="111" t="s">
        <v>1</v>
      </c>
      <c r="B27" s="112" t="s">
        <v>360</v>
      </c>
      <c r="C27" s="113"/>
      <c r="D27" s="113"/>
    </row>
    <row r="28">
      <c r="A28" s="111" t="s">
        <v>1</v>
      </c>
      <c r="B28" s="112" t="s">
        <v>361</v>
      </c>
      <c r="C28" s="113"/>
      <c r="D28" s="113"/>
    </row>
    <row r="29">
      <c r="A29" s="111" t="s">
        <v>1</v>
      </c>
      <c r="B29" s="112" t="s">
        <v>362</v>
      </c>
      <c r="C29" s="113"/>
      <c r="D29" s="113"/>
    </row>
    <row r="30">
      <c r="A30" s="111" t="s">
        <v>1</v>
      </c>
      <c r="B30" s="112" t="s">
        <v>363</v>
      </c>
      <c r="C30" s="113"/>
      <c r="D30" s="113"/>
    </row>
    <row r="31">
      <c r="A31" s="111" t="s">
        <v>1</v>
      </c>
      <c r="B31" s="112" t="s">
        <v>364</v>
      </c>
      <c r="C31" s="113"/>
      <c r="D31" s="113"/>
    </row>
    <row r="32">
      <c r="A32" s="111" t="s">
        <v>1</v>
      </c>
      <c r="B32" s="112" t="s">
        <v>365</v>
      </c>
      <c r="C32" s="113"/>
      <c r="D32" s="113"/>
    </row>
    <row r="33">
      <c r="A33" s="111" t="s">
        <v>1</v>
      </c>
      <c r="B33" s="112" t="s">
        <v>366</v>
      </c>
      <c r="C33" s="113"/>
      <c r="D33" s="113"/>
    </row>
    <row r="34">
      <c r="A34" s="111" t="s">
        <v>1</v>
      </c>
      <c r="B34" s="112" t="s">
        <v>367</v>
      </c>
      <c r="C34" s="113"/>
      <c r="D34" s="113"/>
    </row>
    <row r="35">
      <c r="A35" s="111" t="s">
        <v>1</v>
      </c>
      <c r="B35" s="112" t="s">
        <v>368</v>
      </c>
      <c r="C35" s="113"/>
      <c r="D35" s="113"/>
    </row>
    <row r="36">
      <c r="A36" s="111" t="s">
        <v>1</v>
      </c>
      <c r="B36" s="112" t="s">
        <v>369</v>
      </c>
      <c r="C36" s="113"/>
      <c r="D36" s="113"/>
    </row>
    <row r="37">
      <c r="A37" s="111" t="s">
        <v>1</v>
      </c>
      <c r="B37" s="112" t="s">
        <v>370</v>
      </c>
      <c r="C37" s="113"/>
      <c r="D37" s="113"/>
    </row>
    <row r="38">
      <c r="A38" s="111" t="s">
        <v>1</v>
      </c>
      <c r="B38" s="112" t="s">
        <v>371</v>
      </c>
      <c r="C38" s="113"/>
      <c r="D38" s="113"/>
    </row>
    <row r="39">
      <c r="A39" s="111" t="s">
        <v>1</v>
      </c>
      <c r="B39" s="112" t="s">
        <v>372</v>
      </c>
      <c r="C39" s="113"/>
      <c r="D39" s="113"/>
    </row>
    <row r="40">
      <c r="A40" s="111" t="s">
        <v>1</v>
      </c>
      <c r="B40" s="112" t="s">
        <v>373</v>
      </c>
      <c r="C40" s="113"/>
      <c r="D40" s="113"/>
    </row>
    <row r="41">
      <c r="A41" s="111" t="s">
        <v>1</v>
      </c>
      <c r="B41" s="112" t="s">
        <v>374</v>
      </c>
      <c r="C41" s="113"/>
      <c r="D41" s="113"/>
    </row>
    <row r="42">
      <c r="A42" s="111" t="s">
        <v>1</v>
      </c>
      <c r="B42" s="112" t="s">
        <v>375</v>
      </c>
      <c r="C42" s="113"/>
      <c r="D42" s="113"/>
    </row>
    <row r="43">
      <c r="A43" s="111" t="s">
        <v>1</v>
      </c>
      <c r="B43" s="112" t="s">
        <v>376</v>
      </c>
      <c r="C43" s="113"/>
      <c r="D43" s="113"/>
    </row>
    <row r="44">
      <c r="A44" s="111" t="s">
        <v>1</v>
      </c>
      <c r="B44" s="112" t="s">
        <v>377</v>
      </c>
      <c r="C44" s="113"/>
      <c r="D44" s="113"/>
    </row>
    <row r="45">
      <c r="A45" s="111" t="s">
        <v>1</v>
      </c>
      <c r="B45" s="112" t="s">
        <v>378</v>
      </c>
      <c r="C45" s="113"/>
      <c r="D45" s="113"/>
    </row>
    <row r="46">
      <c r="A46" s="111" t="s">
        <v>1</v>
      </c>
      <c r="B46" s="112" t="s">
        <v>379</v>
      </c>
      <c r="C46" s="113"/>
      <c r="D46" s="113"/>
    </row>
    <row r="47">
      <c r="A47" s="111" t="s">
        <v>1</v>
      </c>
      <c r="B47" s="112" t="s">
        <v>380</v>
      </c>
      <c r="C47" s="113"/>
      <c r="D47" s="113"/>
    </row>
    <row r="48">
      <c r="A48" s="111" t="s">
        <v>1</v>
      </c>
      <c r="B48" s="112" t="s">
        <v>381</v>
      </c>
      <c r="C48" s="113"/>
      <c r="D48" s="113"/>
    </row>
    <row r="49">
      <c r="A49" s="111" t="s">
        <v>1</v>
      </c>
      <c r="B49" s="112" t="s">
        <v>382</v>
      </c>
      <c r="C49" s="113"/>
      <c r="D49" s="113"/>
    </row>
    <row r="50">
      <c r="A50" s="111" t="s">
        <v>1</v>
      </c>
      <c r="B50" s="112" t="s">
        <v>383</v>
      </c>
      <c r="C50" s="113"/>
      <c r="D50" s="113"/>
    </row>
    <row r="51">
      <c r="A51" s="111" t="s">
        <v>1</v>
      </c>
      <c r="B51" s="112" t="s">
        <v>384</v>
      </c>
      <c r="C51" s="113"/>
      <c r="D51" s="113"/>
    </row>
    <row r="52">
      <c r="A52" s="111" t="s">
        <v>1</v>
      </c>
      <c r="B52" s="112" t="s">
        <v>385</v>
      </c>
      <c r="C52" s="113"/>
      <c r="D52" s="113"/>
    </row>
    <row r="53">
      <c r="A53" s="111" t="s">
        <v>1</v>
      </c>
      <c r="B53" s="112" t="s">
        <v>386</v>
      </c>
      <c r="C53" s="113"/>
      <c r="D53" s="113"/>
    </row>
    <row r="54">
      <c r="A54" s="111" t="s">
        <v>1</v>
      </c>
      <c r="B54" s="112" t="s">
        <v>387</v>
      </c>
      <c r="C54" s="113"/>
      <c r="D54" s="113"/>
    </row>
    <row r="55">
      <c r="A55" s="111" t="s">
        <v>1</v>
      </c>
      <c r="B55" s="112" t="s">
        <v>388</v>
      </c>
      <c r="C55" s="113"/>
      <c r="D55" s="113"/>
    </row>
    <row r="56">
      <c r="A56" s="111" t="s">
        <v>1</v>
      </c>
      <c r="B56" s="112" t="s">
        <v>389</v>
      </c>
      <c r="C56" s="113"/>
      <c r="D56" s="113"/>
    </row>
    <row r="57">
      <c r="A57" s="111" t="s">
        <v>1</v>
      </c>
      <c r="B57" s="112" t="s">
        <v>390</v>
      </c>
      <c r="C57" s="113"/>
      <c r="D57" s="113"/>
    </row>
    <row r="58">
      <c r="A58" s="111" t="s">
        <v>1</v>
      </c>
      <c r="B58" s="112" t="s">
        <v>391</v>
      </c>
      <c r="C58" s="113"/>
      <c r="D58" s="113"/>
    </row>
    <row r="59">
      <c r="A59" s="111" t="s">
        <v>1</v>
      </c>
      <c r="B59" s="112" t="s">
        <v>392</v>
      </c>
      <c r="C59" s="113"/>
      <c r="D59" s="113"/>
    </row>
    <row r="60">
      <c r="A60" s="111" t="s">
        <v>1</v>
      </c>
      <c r="B60" s="112" t="s">
        <v>393</v>
      </c>
      <c r="C60" s="113"/>
      <c r="D60" s="113"/>
    </row>
    <row r="61">
      <c r="A61" s="111" t="s">
        <v>1</v>
      </c>
      <c r="B61" s="112" t="s">
        <v>394</v>
      </c>
      <c r="C61" s="113"/>
      <c r="D61" s="113"/>
    </row>
    <row r="62">
      <c r="A62" s="111" t="s">
        <v>1</v>
      </c>
      <c r="B62" s="112" t="s">
        <v>395</v>
      </c>
      <c r="C62" s="113"/>
      <c r="D62" s="113"/>
    </row>
    <row r="63">
      <c r="A63" s="111" t="s">
        <v>1</v>
      </c>
      <c r="B63" s="112" t="s">
        <v>396</v>
      </c>
      <c r="C63" s="113"/>
      <c r="D63" s="113"/>
    </row>
    <row r="64">
      <c r="A64" s="111" t="s">
        <v>1</v>
      </c>
      <c r="B64" s="112" t="s">
        <v>397</v>
      </c>
      <c r="C64" s="113"/>
      <c r="D64" s="113"/>
    </row>
    <row r="65">
      <c r="A65" s="111" t="s">
        <v>1</v>
      </c>
      <c r="B65" s="112" t="s">
        <v>398</v>
      </c>
      <c r="C65" s="113"/>
      <c r="D65" s="113"/>
    </row>
    <row r="66">
      <c r="A66" s="111" t="s">
        <v>1</v>
      </c>
      <c r="B66" s="112" t="s">
        <v>399</v>
      </c>
      <c r="C66" s="113"/>
      <c r="D66" s="113"/>
    </row>
    <row r="67">
      <c r="A67" s="111" t="s">
        <v>1</v>
      </c>
      <c r="B67" s="112" t="s">
        <v>400</v>
      </c>
      <c r="C67" s="113"/>
      <c r="D67" s="113"/>
    </row>
    <row r="68">
      <c r="A68" s="111" t="s">
        <v>1</v>
      </c>
      <c r="B68" s="112" t="s">
        <v>401</v>
      </c>
      <c r="C68" s="113"/>
      <c r="D68" s="113"/>
    </row>
    <row r="69">
      <c r="A69" s="111" t="s">
        <v>1</v>
      </c>
      <c r="B69" s="112" t="s">
        <v>402</v>
      </c>
      <c r="C69" s="113"/>
      <c r="D69" s="113"/>
    </row>
    <row r="70">
      <c r="A70" s="111" t="s">
        <v>1</v>
      </c>
      <c r="B70" s="112" t="s">
        <v>403</v>
      </c>
      <c r="C70" s="113"/>
      <c r="D70" s="113"/>
    </row>
    <row r="71">
      <c r="A71" s="111" t="s">
        <v>1</v>
      </c>
      <c r="B71" s="112" t="s">
        <v>404</v>
      </c>
      <c r="C71" s="113"/>
      <c r="D71" s="113"/>
    </row>
    <row r="72">
      <c r="A72" s="111" t="s">
        <v>1</v>
      </c>
      <c r="B72" s="112" t="s">
        <v>405</v>
      </c>
      <c r="C72" s="113"/>
      <c r="D72" s="113"/>
    </row>
    <row r="73">
      <c r="A73" s="111" t="s">
        <v>1</v>
      </c>
      <c r="B73" s="112" t="s">
        <v>406</v>
      </c>
      <c r="C73" s="113"/>
      <c r="D73" s="113"/>
    </row>
    <row r="74">
      <c r="A74" s="111" t="s">
        <v>1</v>
      </c>
      <c r="B74" s="112" t="s">
        <v>407</v>
      </c>
      <c r="C74" s="113"/>
      <c r="D74" s="113"/>
    </row>
    <row r="75">
      <c r="A75" s="111" t="s">
        <v>1</v>
      </c>
      <c r="B75" s="112" t="s">
        <v>408</v>
      </c>
      <c r="C75" s="113"/>
      <c r="D75" s="113"/>
    </row>
    <row r="76">
      <c r="A76" s="111" t="s">
        <v>1</v>
      </c>
      <c r="B76" s="112" t="s">
        <v>409</v>
      </c>
      <c r="C76" s="113"/>
      <c r="D76" s="113"/>
    </row>
    <row r="77">
      <c r="A77" s="111" t="s">
        <v>1</v>
      </c>
      <c r="B77" s="112" t="s">
        <v>410</v>
      </c>
      <c r="C77" s="113"/>
      <c r="D77" s="95"/>
    </row>
    <row r="78">
      <c r="A78" s="111" t="s">
        <v>1</v>
      </c>
      <c r="B78" s="112" t="s">
        <v>411</v>
      </c>
      <c r="C78" s="113"/>
      <c r="D78" s="95"/>
    </row>
    <row r="79">
      <c r="A79" s="111" t="s">
        <v>1</v>
      </c>
      <c r="B79" s="112" t="s">
        <v>412</v>
      </c>
      <c r="C79" s="113"/>
      <c r="D79" s="95"/>
    </row>
    <row r="80">
      <c r="A80" s="111" t="s">
        <v>1</v>
      </c>
      <c r="B80" s="112" t="s">
        <v>413</v>
      </c>
      <c r="C80" s="113"/>
      <c r="D80" s="95"/>
    </row>
    <row r="81">
      <c r="A81" s="111" t="s">
        <v>1</v>
      </c>
      <c r="B81" s="112" t="s">
        <v>414</v>
      </c>
      <c r="C81" s="95">
        <v>0.18328561439524044</v>
      </c>
      <c r="D81" s="95">
        <v>0.2907233287089203</v>
      </c>
      <c r="E81" s="114">
        <v>413.894</v>
      </c>
      <c r="H81" s="111">
        <v>100.0</v>
      </c>
    </row>
    <row r="82">
      <c r="A82" s="111" t="s">
        <v>1</v>
      </c>
      <c r="B82" s="112" t="s">
        <v>415</v>
      </c>
      <c r="C82" s="95">
        <v>0.164680739467651</v>
      </c>
      <c r="D82" s="95">
        <v>0.3149854840529909</v>
      </c>
      <c r="E82" s="114">
        <v>640.43025</v>
      </c>
    </row>
    <row r="83">
      <c r="A83" s="111" t="s">
        <v>1</v>
      </c>
      <c r="B83" s="112" t="s">
        <v>416</v>
      </c>
      <c r="C83" s="95">
        <v>0.2133976281942605</v>
      </c>
      <c r="D83" s="95">
        <v>0.3170485578359301</v>
      </c>
      <c r="E83" s="114">
        <v>640.43025</v>
      </c>
    </row>
    <row r="84">
      <c r="A84" s="111" t="s">
        <v>1</v>
      </c>
      <c r="B84" s="112" t="s">
        <v>417</v>
      </c>
      <c r="C84" s="95">
        <v>0.23212305836763936</v>
      </c>
      <c r="D84" s="95">
        <v>0.28232641148860776</v>
      </c>
      <c r="E84" s="114">
        <v>640.43025</v>
      </c>
    </row>
    <row r="85">
      <c r="A85" s="111" t="s">
        <v>1</v>
      </c>
      <c r="B85" s="112" t="s">
        <v>418</v>
      </c>
      <c r="C85" s="95">
        <v>0.13229779581795564</v>
      </c>
      <c r="D85" s="95">
        <v>0.18279600998563217</v>
      </c>
      <c r="E85" s="114">
        <v>640.43025</v>
      </c>
    </row>
    <row r="86">
      <c r="A86" s="111" t="s">
        <v>1</v>
      </c>
      <c r="B86" s="112" t="s">
        <v>419</v>
      </c>
      <c r="C86" s="95">
        <v>0.17618958346264735</v>
      </c>
      <c r="D86" s="95">
        <v>0.14610661736200342</v>
      </c>
      <c r="E86" s="114">
        <v>912.99625</v>
      </c>
    </row>
    <row r="87">
      <c r="A87" s="111" t="s">
        <v>1</v>
      </c>
      <c r="B87" s="112" t="s">
        <v>420</v>
      </c>
      <c r="C87" s="95">
        <v>0.1971762163195191</v>
      </c>
      <c r="D87" s="95">
        <v>0.1451175596786286</v>
      </c>
      <c r="E87" s="114">
        <v>912.99625</v>
      </c>
    </row>
    <row r="88">
      <c r="A88" s="111" t="s">
        <v>1</v>
      </c>
      <c r="B88" s="112" t="s">
        <v>421</v>
      </c>
      <c r="C88" s="95">
        <v>0.19371191714435915</v>
      </c>
      <c r="D88" s="95">
        <v>0.129140926356706</v>
      </c>
      <c r="E88" s="114">
        <v>912.99625</v>
      </c>
    </row>
    <row r="89">
      <c r="A89" s="111" t="s">
        <v>1</v>
      </c>
      <c r="B89" s="112" t="s">
        <v>422</v>
      </c>
      <c r="C89" s="95">
        <v>0.1667868610686462</v>
      </c>
      <c r="D89" s="95">
        <v>0.11797864626799293</v>
      </c>
      <c r="E89" s="114">
        <v>912.99625</v>
      </c>
    </row>
    <row r="90">
      <c r="A90" s="111" t="s">
        <v>1</v>
      </c>
      <c r="B90" s="112" t="s">
        <v>423</v>
      </c>
      <c r="C90" s="95">
        <v>0.15490933844595123</v>
      </c>
      <c r="D90" s="95">
        <v>0.11685712309798563</v>
      </c>
      <c r="E90" s="115">
        <v>839.0</v>
      </c>
    </row>
    <row r="91">
      <c r="A91" s="111" t="s">
        <v>1</v>
      </c>
      <c r="B91" s="112" t="s">
        <v>424</v>
      </c>
      <c r="C91" s="95">
        <v>0.09454828065354046</v>
      </c>
      <c r="D91" s="95">
        <v>0.0904927453880644</v>
      </c>
      <c r="E91" s="115">
        <v>1214.0</v>
      </c>
    </row>
    <row r="92">
      <c r="A92" s="111" t="s">
        <v>1</v>
      </c>
      <c r="B92" s="112" t="s">
        <v>425</v>
      </c>
      <c r="C92" s="95">
        <v>0.07429958659249888</v>
      </c>
      <c r="D92" s="95">
        <v>0.08576838827282851</v>
      </c>
      <c r="E92" s="115">
        <v>1646.0</v>
      </c>
    </row>
    <row r="93">
      <c r="A93" s="111" t="s">
        <v>1</v>
      </c>
      <c r="B93" s="112" t="s">
        <v>426</v>
      </c>
      <c r="C93" s="95">
        <v>0.060740131685362214</v>
      </c>
      <c r="D93" s="95">
        <v>0.08115906749695345</v>
      </c>
      <c r="E93" s="115">
        <v>1107.0</v>
      </c>
    </row>
    <row r="94">
      <c r="A94" s="111" t="s">
        <v>1</v>
      </c>
      <c r="B94" s="112" t="s">
        <v>427</v>
      </c>
      <c r="C94" s="95">
        <v>0.03397609035709351</v>
      </c>
      <c r="D94" s="95">
        <v>0.07365239571428445</v>
      </c>
      <c r="E94" s="115">
        <v>841.83</v>
      </c>
    </row>
    <row r="95">
      <c r="A95" s="111" t="s">
        <v>1</v>
      </c>
      <c r="B95" s="112" t="s">
        <v>428</v>
      </c>
      <c r="C95" s="95">
        <v>-0.006616042445004383</v>
      </c>
      <c r="D95" s="95">
        <v>0.025255750987376036</v>
      </c>
      <c r="E95" s="115">
        <v>334.774</v>
      </c>
    </row>
    <row r="96">
      <c r="A96" s="111" t="s">
        <v>1</v>
      </c>
      <c r="B96" s="112" t="s">
        <v>429</v>
      </c>
      <c r="C96" s="95">
        <v>-0.23782298803367127</v>
      </c>
      <c r="D96" s="95">
        <v>-0.20356427161015012</v>
      </c>
      <c r="E96" s="115">
        <v>1342.0</v>
      </c>
    </row>
    <row r="97">
      <c r="A97" s="111" t="s">
        <v>1</v>
      </c>
      <c r="B97" s="112" t="s">
        <v>430</v>
      </c>
      <c r="C97" s="95">
        <v>-0.3</v>
      </c>
      <c r="D97" s="95">
        <v>-0.3694070713062382</v>
      </c>
      <c r="E97" s="115">
        <v>859.0</v>
      </c>
    </row>
    <row r="98">
      <c r="A98" s="111" t="s">
        <v>1</v>
      </c>
      <c r="B98" s="112" t="s">
        <v>431</v>
      </c>
      <c r="C98" s="95">
        <v>-0.3</v>
      </c>
      <c r="D98" s="95">
        <v>-0.5</v>
      </c>
      <c r="E98" s="115">
        <v>886.936</v>
      </c>
    </row>
    <row r="99">
      <c r="A99" s="111" t="s">
        <v>1</v>
      </c>
      <c r="B99" s="112" t="s">
        <v>432</v>
      </c>
      <c r="C99" s="95">
        <v>-0.3</v>
      </c>
      <c r="D99" s="95">
        <v>-0.5</v>
      </c>
      <c r="E99" s="115">
        <v>1335.196</v>
      </c>
    </row>
    <row r="100">
      <c r="A100" s="111" t="s">
        <v>1</v>
      </c>
      <c r="B100" s="112" t="s">
        <v>433</v>
      </c>
      <c r="C100" s="95">
        <v>0.20545986377354297</v>
      </c>
      <c r="D100" s="95">
        <v>0.2628395779716973</v>
      </c>
      <c r="E100" s="115">
        <v>2237.432</v>
      </c>
    </row>
    <row r="101">
      <c r="A101" s="111" t="s">
        <v>1</v>
      </c>
      <c r="B101" s="112" t="s">
        <v>434</v>
      </c>
      <c r="C101" s="95">
        <v>0.5173105131241924</v>
      </c>
      <c r="D101" s="95">
        <v>0.5</v>
      </c>
      <c r="E101" s="115">
        <v>1532.196</v>
      </c>
    </row>
    <row r="102">
      <c r="A102" s="111" t="s">
        <v>1</v>
      </c>
      <c r="B102" s="112" t="s">
        <v>435</v>
      </c>
      <c r="C102" s="95">
        <v>1.0</v>
      </c>
      <c r="D102" s="95">
        <v>0.5</v>
      </c>
      <c r="E102" s="115">
        <v>1508.937</v>
      </c>
    </row>
    <row r="103">
      <c r="A103" s="111" t="s">
        <v>1</v>
      </c>
      <c r="B103" s="112" t="s">
        <v>436</v>
      </c>
      <c r="C103" s="95">
        <v>1.0</v>
      </c>
      <c r="D103" s="95">
        <v>0.5</v>
      </c>
      <c r="E103" s="115">
        <v>2104.107</v>
      </c>
    </row>
    <row r="104">
      <c r="A104" s="111" t="s">
        <v>1</v>
      </c>
      <c r="B104" s="112" t="s">
        <v>437</v>
      </c>
      <c r="C104" s="95">
        <v>1.0</v>
      </c>
      <c r="D104" s="95">
        <v>0.5</v>
      </c>
      <c r="E104" s="115">
        <v>2884.41</v>
      </c>
    </row>
    <row r="105">
      <c r="A105" s="111" t="s">
        <v>1</v>
      </c>
      <c r="B105" s="112" t="s">
        <v>438</v>
      </c>
      <c r="C105" s="95">
        <v>1.0</v>
      </c>
      <c r="D105" s="95">
        <v>0.5</v>
      </c>
      <c r="E105" s="115">
        <v>1902.0</v>
      </c>
    </row>
    <row r="106">
      <c r="A106" s="111" t="s">
        <v>1</v>
      </c>
      <c r="B106" s="112" t="s">
        <v>439</v>
      </c>
      <c r="C106" s="95">
        <v>0.7506159490071727</v>
      </c>
      <c r="D106" s="95">
        <v>0.42060093628772854</v>
      </c>
      <c r="E106" s="115">
        <v>1818.0</v>
      </c>
    </row>
    <row r="107">
      <c r="A107" s="111" t="s">
        <v>1</v>
      </c>
      <c r="B107" s="112" t="s">
        <v>440</v>
      </c>
      <c r="C107" s="95">
        <v>0.5105889733535536</v>
      </c>
      <c r="D107" s="95">
        <v>0.26559973011583976</v>
      </c>
      <c r="E107" s="115">
        <v>2484.0</v>
      </c>
    </row>
    <row r="108">
      <c r="A108" s="111" t="s">
        <v>1</v>
      </c>
      <c r="B108" s="112" t="s">
        <v>441</v>
      </c>
      <c r="C108" s="95">
        <v>0.33160009567755433</v>
      </c>
      <c r="D108" s="95">
        <v>0.15279325437336655</v>
      </c>
      <c r="E108" s="115">
        <v>3397.0</v>
      </c>
    </row>
    <row r="109">
      <c r="A109" s="111" t="s">
        <v>1</v>
      </c>
      <c r="B109" s="112" t="s">
        <v>442</v>
      </c>
      <c r="C109" s="95">
        <v>0.3112798048080611</v>
      </c>
      <c r="D109" s="95">
        <v>0.11875561280164076</v>
      </c>
      <c r="E109" s="115">
        <v>2218.0</v>
      </c>
    </row>
    <row r="110">
      <c r="A110" s="111" t="s">
        <v>1</v>
      </c>
      <c r="B110" s="112" t="s">
        <v>443</v>
      </c>
      <c r="C110" s="95">
        <v>0.26709412119680753</v>
      </c>
      <c r="D110" s="95">
        <v>0.10725579766955656</v>
      </c>
      <c r="E110" s="115">
        <v>2142.0</v>
      </c>
    </row>
    <row r="111">
      <c r="A111" s="111" t="s">
        <v>1</v>
      </c>
      <c r="B111" s="112" t="s">
        <v>444</v>
      </c>
      <c r="C111" s="95">
        <v>0.20878223154369424</v>
      </c>
      <c r="D111" s="95">
        <v>0.08202615631133775</v>
      </c>
      <c r="E111" s="115">
        <v>2748.0</v>
      </c>
    </row>
    <row r="112">
      <c r="A112" s="111" t="s">
        <v>2</v>
      </c>
      <c r="B112" s="112" t="s">
        <v>335</v>
      </c>
      <c r="C112" s="113"/>
      <c r="D112" s="113"/>
    </row>
    <row r="113">
      <c r="A113" s="111" t="s">
        <v>2</v>
      </c>
      <c r="B113" s="112" t="s">
        <v>336</v>
      </c>
      <c r="C113" s="113"/>
      <c r="D113" s="113"/>
    </row>
    <row r="114">
      <c r="A114" s="111" t="s">
        <v>2</v>
      </c>
      <c r="B114" s="112" t="s">
        <v>337</v>
      </c>
      <c r="C114" s="113"/>
      <c r="D114" s="113"/>
    </row>
    <row r="115">
      <c r="A115" s="111" t="s">
        <v>2</v>
      </c>
      <c r="B115" s="112" t="s">
        <v>338</v>
      </c>
      <c r="C115" s="113"/>
      <c r="D115" s="113"/>
    </row>
    <row r="116">
      <c r="A116" s="111" t="s">
        <v>2</v>
      </c>
      <c r="B116" s="112" t="s">
        <v>339</v>
      </c>
      <c r="C116" s="113"/>
      <c r="D116" s="113"/>
    </row>
    <row r="117">
      <c r="A117" s="111" t="s">
        <v>2</v>
      </c>
      <c r="B117" s="112" t="s">
        <v>340</v>
      </c>
      <c r="C117" s="113"/>
      <c r="D117" s="113"/>
    </row>
    <row r="118">
      <c r="A118" s="111" t="s">
        <v>2</v>
      </c>
      <c r="B118" s="112" t="s">
        <v>341</v>
      </c>
      <c r="C118" s="113"/>
      <c r="D118" s="113"/>
    </row>
    <row r="119">
      <c r="A119" s="111" t="s">
        <v>2</v>
      </c>
      <c r="B119" s="112" t="s">
        <v>342</v>
      </c>
      <c r="C119" s="113"/>
      <c r="D119" s="113"/>
    </row>
    <row r="120">
      <c r="A120" s="111" t="s">
        <v>2</v>
      </c>
      <c r="B120" s="112" t="s">
        <v>343</v>
      </c>
      <c r="C120" s="113"/>
      <c r="D120" s="113"/>
    </row>
    <row r="121">
      <c r="A121" s="111" t="s">
        <v>2</v>
      </c>
      <c r="B121" s="112" t="s">
        <v>344</v>
      </c>
      <c r="C121" s="113"/>
      <c r="D121" s="113"/>
    </row>
    <row r="122">
      <c r="A122" s="111" t="s">
        <v>2</v>
      </c>
      <c r="B122" s="112" t="s">
        <v>345</v>
      </c>
      <c r="C122" s="113"/>
      <c r="D122" s="113"/>
    </row>
    <row r="123">
      <c r="A123" s="111" t="s">
        <v>2</v>
      </c>
      <c r="B123" s="112" t="s">
        <v>346</v>
      </c>
      <c r="C123" s="113">
        <v>1.0</v>
      </c>
      <c r="D123" s="113">
        <v>-0.12031467009390352</v>
      </c>
      <c r="E123" s="116">
        <v>121.0</v>
      </c>
    </row>
    <row r="124">
      <c r="A124" s="111" t="s">
        <v>2</v>
      </c>
      <c r="B124" s="112" t="s">
        <v>347</v>
      </c>
      <c r="C124" s="113">
        <v>1.0</v>
      </c>
      <c r="D124" s="113">
        <v>-0.09661553593462828</v>
      </c>
      <c r="E124" s="116">
        <v>309.0</v>
      </c>
    </row>
    <row r="125">
      <c r="A125" s="111" t="s">
        <v>2</v>
      </c>
      <c r="B125" s="112" t="s">
        <v>348</v>
      </c>
      <c r="C125" s="113">
        <v>1.0</v>
      </c>
      <c r="D125" s="113">
        <v>-0.07291640177535302</v>
      </c>
      <c r="E125" s="116">
        <v>309.0</v>
      </c>
    </row>
    <row r="126">
      <c r="A126" s="111" t="s">
        <v>2</v>
      </c>
      <c r="B126" s="112" t="s">
        <v>349</v>
      </c>
      <c r="C126" s="113">
        <v>1.0</v>
      </c>
      <c r="D126" s="113">
        <v>-0.04921726761607777</v>
      </c>
      <c r="E126" s="116">
        <v>309.0</v>
      </c>
    </row>
    <row r="127">
      <c r="A127" s="111" t="s">
        <v>2</v>
      </c>
      <c r="B127" s="112" t="s">
        <v>350</v>
      </c>
      <c r="C127" s="113">
        <v>1.0</v>
      </c>
      <c r="D127" s="113">
        <v>-0.025518133456802514</v>
      </c>
      <c r="E127" s="116">
        <v>309.0</v>
      </c>
    </row>
    <row r="128">
      <c r="A128" s="111" t="s">
        <v>2</v>
      </c>
      <c r="B128" s="112" t="s">
        <v>351</v>
      </c>
      <c r="C128" s="113">
        <v>1.0</v>
      </c>
      <c r="D128" s="113">
        <v>-0.017698450163393255</v>
      </c>
      <c r="E128" s="116">
        <v>293.0</v>
      </c>
    </row>
    <row r="129">
      <c r="A129" s="111" t="s">
        <v>2</v>
      </c>
      <c r="B129" s="112" t="s">
        <v>352</v>
      </c>
      <c r="C129" s="113">
        <v>0.7546838102491089</v>
      </c>
      <c r="D129" s="113">
        <v>-0.009878766869983997</v>
      </c>
      <c r="E129" s="116">
        <v>293.0</v>
      </c>
    </row>
    <row r="130">
      <c r="A130" s="111" t="s">
        <v>2</v>
      </c>
      <c r="B130" s="112" t="s">
        <v>353</v>
      </c>
      <c r="C130" s="113">
        <v>0.35158376765284494</v>
      </c>
      <c r="D130" s="113">
        <v>-0.0020590835765747382</v>
      </c>
      <c r="E130" s="116">
        <v>293.0</v>
      </c>
    </row>
    <row r="131">
      <c r="A131" s="111" t="s">
        <v>2</v>
      </c>
      <c r="B131" s="112" t="s">
        <v>354</v>
      </c>
      <c r="C131" s="113">
        <v>-0.05151627494341893</v>
      </c>
      <c r="D131" s="113">
        <v>0.0057605997168345205</v>
      </c>
      <c r="E131" s="116">
        <v>293.0</v>
      </c>
    </row>
    <row r="132">
      <c r="A132" s="111" t="s">
        <v>2</v>
      </c>
      <c r="B132" s="112" t="s">
        <v>355</v>
      </c>
      <c r="C132" s="113">
        <v>-0.07451230104410397</v>
      </c>
      <c r="D132" s="113">
        <v>0.009963600585847502</v>
      </c>
      <c r="E132" s="116">
        <v>251.0</v>
      </c>
    </row>
    <row r="133">
      <c r="A133" s="111" t="s">
        <v>2</v>
      </c>
      <c r="B133" s="112" t="s">
        <v>356</v>
      </c>
      <c r="C133" s="113">
        <v>-0.09750832714478902</v>
      </c>
      <c r="D133" s="113">
        <v>0.014166601454860487</v>
      </c>
      <c r="E133" s="116">
        <v>251.0</v>
      </c>
    </row>
    <row r="134">
      <c r="A134" s="111" t="s">
        <v>2</v>
      </c>
      <c r="B134" s="112" t="s">
        <v>357</v>
      </c>
      <c r="C134" s="113">
        <v>-0.12050435324547407</v>
      </c>
      <c r="D134" s="113">
        <v>0.01836960232387347</v>
      </c>
      <c r="E134" s="116">
        <v>251.0</v>
      </c>
    </row>
    <row r="135">
      <c r="A135" s="111" t="s">
        <v>2</v>
      </c>
      <c r="B135" s="112" t="s">
        <v>358</v>
      </c>
      <c r="C135" s="113">
        <v>-0.1435003793461591</v>
      </c>
      <c r="D135" s="113">
        <v>0.02257260319288645</v>
      </c>
      <c r="E135" s="116">
        <v>251.0</v>
      </c>
    </row>
    <row r="136">
      <c r="A136" s="111" t="s">
        <v>2</v>
      </c>
      <c r="B136" s="112" t="s">
        <v>359</v>
      </c>
      <c r="C136" s="113">
        <v>-0.1424858273919855</v>
      </c>
      <c r="D136" s="113">
        <v>0.024456421888482432</v>
      </c>
      <c r="E136" s="116">
        <v>216.0</v>
      </c>
    </row>
    <row r="137">
      <c r="A137" s="111" t="s">
        <v>2</v>
      </c>
      <c r="B137" s="112" t="s">
        <v>360</v>
      </c>
      <c r="C137" s="113">
        <v>-0.1414712754378119</v>
      </c>
      <c r="D137" s="113">
        <v>0.02634024058407842</v>
      </c>
      <c r="E137" s="116">
        <v>216.0</v>
      </c>
    </row>
    <row r="138">
      <c r="A138" s="111" t="s">
        <v>2</v>
      </c>
      <c r="B138" s="112" t="s">
        <v>361</v>
      </c>
      <c r="C138" s="113">
        <v>-0.1404567234836383</v>
      </c>
      <c r="D138" s="113">
        <v>0.028224059279674404</v>
      </c>
      <c r="E138" s="116">
        <v>216.0</v>
      </c>
    </row>
    <row r="139">
      <c r="A139" s="111" t="s">
        <v>2</v>
      </c>
      <c r="B139" s="112" t="s">
        <v>362</v>
      </c>
      <c r="C139" s="113">
        <v>-0.1394421715294647</v>
      </c>
      <c r="D139" s="113">
        <v>0.03010787797527039</v>
      </c>
      <c r="E139" s="116">
        <v>216.0</v>
      </c>
    </row>
    <row r="140">
      <c r="A140" s="111" t="s">
        <v>2</v>
      </c>
      <c r="B140" s="112" t="s">
        <v>363</v>
      </c>
      <c r="C140" s="113">
        <v>-0.08990254738720604</v>
      </c>
      <c r="D140" s="113">
        <v>0.034829479085102075</v>
      </c>
      <c r="E140" s="116">
        <v>229.0</v>
      </c>
    </row>
    <row r="141">
      <c r="A141" s="111" t="s">
        <v>2</v>
      </c>
      <c r="B141" s="112" t="s">
        <v>364</v>
      </c>
      <c r="C141" s="113">
        <v>-0.04036292324494739</v>
      </c>
      <c r="D141" s="113">
        <v>0.03955108019493375</v>
      </c>
      <c r="E141" s="116">
        <v>229.0</v>
      </c>
    </row>
    <row r="142">
      <c r="A142" s="111" t="s">
        <v>2</v>
      </c>
      <c r="B142" s="112" t="s">
        <v>365</v>
      </c>
      <c r="C142" s="113">
        <v>0.009176700897311263</v>
      </c>
      <c r="D142" s="113">
        <v>0.04427268130476544</v>
      </c>
      <c r="E142" s="116">
        <v>229.0</v>
      </c>
    </row>
    <row r="143">
      <c r="A143" s="111" t="s">
        <v>2</v>
      </c>
      <c r="B143" s="112" t="s">
        <v>366</v>
      </c>
      <c r="C143" s="113">
        <v>0.05871632503956992</v>
      </c>
      <c r="D143" s="113">
        <v>0.04899428241459712</v>
      </c>
      <c r="E143" s="116">
        <v>229.0</v>
      </c>
    </row>
    <row r="144">
      <c r="A144" s="111" t="s">
        <v>2</v>
      </c>
      <c r="B144" s="112" t="s">
        <v>367</v>
      </c>
      <c r="C144" s="113">
        <v>0.05723974779336116</v>
      </c>
      <c r="D144" s="113">
        <v>0.053586548658848446</v>
      </c>
      <c r="E144" s="116">
        <v>241.0</v>
      </c>
    </row>
    <row r="145">
      <c r="A145" s="111" t="s">
        <v>2</v>
      </c>
      <c r="B145" s="112" t="s">
        <v>368</v>
      </c>
      <c r="C145" s="113">
        <v>0.05576317054715241</v>
      </c>
      <c r="D145" s="113">
        <v>0.05817881490309978</v>
      </c>
      <c r="E145" s="116">
        <v>241.0</v>
      </c>
    </row>
    <row r="146">
      <c r="A146" s="111" t="s">
        <v>2</v>
      </c>
      <c r="B146" s="112" t="s">
        <v>369</v>
      </c>
      <c r="C146" s="113">
        <v>0.05428659330094365</v>
      </c>
      <c r="D146" s="113">
        <v>0.06277108114735111</v>
      </c>
      <c r="E146" s="116">
        <v>241.0</v>
      </c>
    </row>
    <row r="147">
      <c r="A147" s="111" t="s">
        <v>2</v>
      </c>
      <c r="B147" s="112" t="s">
        <v>370</v>
      </c>
      <c r="C147" s="113">
        <v>0.0528100160547349</v>
      </c>
      <c r="D147" s="113">
        <v>0.06736334739160244</v>
      </c>
      <c r="E147" s="116">
        <v>241.0</v>
      </c>
    </row>
    <row r="148">
      <c r="A148" s="111" t="s">
        <v>2</v>
      </c>
      <c r="B148" s="112" t="s">
        <v>371</v>
      </c>
      <c r="C148" s="113">
        <v>0.08127409214202141</v>
      </c>
      <c r="D148" s="113">
        <v>0.07211914949845487</v>
      </c>
      <c r="E148" s="116">
        <v>281.0</v>
      </c>
    </row>
    <row r="149">
      <c r="A149" s="111" t="s">
        <v>2</v>
      </c>
      <c r="B149" s="112" t="s">
        <v>372</v>
      </c>
      <c r="C149" s="113">
        <v>0.10973816822930793</v>
      </c>
      <c r="D149" s="113">
        <v>0.0768749516053073</v>
      </c>
      <c r="E149" s="116">
        <v>281.0</v>
      </c>
    </row>
    <row r="150">
      <c r="A150" s="111" t="s">
        <v>2</v>
      </c>
      <c r="B150" s="112" t="s">
        <v>373</v>
      </c>
      <c r="C150" s="113">
        <v>0.13820224431659445</v>
      </c>
      <c r="D150" s="113">
        <v>0.08163075371215973</v>
      </c>
      <c r="E150" s="116">
        <v>281.0</v>
      </c>
    </row>
    <row r="151">
      <c r="A151" s="111" t="s">
        <v>2</v>
      </c>
      <c r="B151" s="112" t="s">
        <v>374</v>
      </c>
      <c r="C151" s="113">
        <v>0.16666632040388096</v>
      </c>
      <c r="D151" s="113">
        <v>0.08638655581901215</v>
      </c>
      <c r="E151" s="116">
        <v>281.0</v>
      </c>
    </row>
    <row r="152">
      <c r="A152" s="111" t="s">
        <v>2</v>
      </c>
      <c r="B152" s="112" t="s">
        <v>375</v>
      </c>
      <c r="C152" s="113">
        <v>0.1887307605210029</v>
      </c>
      <c r="D152" s="113">
        <v>0.10572640158941696</v>
      </c>
      <c r="E152" s="116">
        <v>352.0</v>
      </c>
    </row>
    <row r="153">
      <c r="A153" s="111" t="s">
        <v>2</v>
      </c>
      <c r="B153" s="112" t="s">
        <v>376</v>
      </c>
      <c r="C153" s="113">
        <v>0.21079520063812485</v>
      </c>
      <c r="D153" s="113">
        <v>0.12506624735982177</v>
      </c>
      <c r="E153" s="116">
        <v>352.0</v>
      </c>
    </row>
    <row r="154">
      <c r="A154" s="111" t="s">
        <v>2</v>
      </c>
      <c r="B154" s="112" t="s">
        <v>377</v>
      </c>
      <c r="C154" s="113">
        <v>0.2328596407552468</v>
      </c>
      <c r="D154" s="113">
        <v>0.1444060931302266</v>
      </c>
      <c r="E154" s="116">
        <v>352.0</v>
      </c>
    </row>
    <row r="155">
      <c r="A155" s="111" t="s">
        <v>2</v>
      </c>
      <c r="B155" s="112" t="s">
        <v>378</v>
      </c>
      <c r="C155" s="113">
        <v>0.25492408087236873</v>
      </c>
      <c r="D155" s="113">
        <v>0.1637459389006314</v>
      </c>
      <c r="E155" s="116">
        <v>352.0</v>
      </c>
    </row>
    <row r="156">
      <c r="A156" s="111" t="s">
        <v>2</v>
      </c>
      <c r="B156" s="112" t="s">
        <v>379</v>
      </c>
      <c r="C156" s="113">
        <v>0.27551865386391267</v>
      </c>
      <c r="D156" s="113">
        <v>0.1669177072264507</v>
      </c>
      <c r="E156" s="116">
        <v>471.0</v>
      </c>
    </row>
    <row r="157">
      <c r="A157" s="111" t="s">
        <v>2</v>
      </c>
      <c r="B157" s="112" t="s">
        <v>380</v>
      </c>
      <c r="C157" s="113">
        <v>0.2961132268554566</v>
      </c>
      <c r="D157" s="113">
        <v>0.17008947555226997</v>
      </c>
      <c r="E157" s="116">
        <v>471.0</v>
      </c>
    </row>
    <row r="158">
      <c r="A158" s="111" t="s">
        <v>2</v>
      </c>
      <c r="B158" s="112" t="s">
        <v>381</v>
      </c>
      <c r="C158" s="113">
        <v>0.31670779984700054</v>
      </c>
      <c r="D158" s="113">
        <v>0.17326124387808925</v>
      </c>
      <c r="E158" s="116">
        <v>471.0</v>
      </c>
    </row>
    <row r="159">
      <c r="A159" s="111" t="s">
        <v>2</v>
      </c>
      <c r="B159" s="112" t="s">
        <v>382</v>
      </c>
      <c r="C159" s="113">
        <v>0.3373023728385445</v>
      </c>
      <c r="D159" s="113">
        <v>0.17643301220390853</v>
      </c>
      <c r="E159" s="116">
        <v>471.0</v>
      </c>
    </row>
    <row r="160">
      <c r="A160" s="111" t="s">
        <v>2</v>
      </c>
      <c r="B160" s="112" t="s">
        <v>383</v>
      </c>
      <c r="C160" s="113">
        <v>0.3131163908143566</v>
      </c>
      <c r="D160" s="113">
        <v>0.18685659801099902</v>
      </c>
      <c r="E160" s="116">
        <v>585.0</v>
      </c>
    </row>
    <row r="161">
      <c r="A161" s="111" t="s">
        <v>2</v>
      </c>
      <c r="B161" s="112" t="s">
        <v>384</v>
      </c>
      <c r="C161" s="113">
        <v>0.28893040879016874</v>
      </c>
      <c r="D161" s="113">
        <v>0.19728018381808948</v>
      </c>
      <c r="E161" s="116">
        <v>585.0</v>
      </c>
    </row>
    <row r="162">
      <c r="A162" s="111" t="s">
        <v>2</v>
      </c>
      <c r="B162" s="112" t="s">
        <v>385</v>
      </c>
      <c r="C162" s="113">
        <v>0.26474442676598087</v>
      </c>
      <c r="D162" s="113">
        <v>0.20770376962517997</v>
      </c>
      <c r="E162" s="116">
        <v>585.0</v>
      </c>
    </row>
    <row r="163">
      <c r="A163" s="111" t="s">
        <v>2</v>
      </c>
      <c r="B163" s="112" t="s">
        <v>386</v>
      </c>
      <c r="C163" s="113">
        <v>0.240558444741793</v>
      </c>
      <c r="D163" s="113">
        <v>0.21812735543227046</v>
      </c>
      <c r="E163" s="116">
        <v>585.0</v>
      </c>
    </row>
    <row r="164">
      <c r="A164" s="111" t="s">
        <v>2</v>
      </c>
      <c r="B164" s="112" t="s">
        <v>387</v>
      </c>
      <c r="C164" s="113">
        <v>0.26025472953156</v>
      </c>
      <c r="D164" s="113">
        <v>0.23144695770448076</v>
      </c>
      <c r="E164" s="116">
        <v>771.0</v>
      </c>
    </row>
    <row r="165">
      <c r="A165" s="111" t="s">
        <v>2</v>
      </c>
      <c r="B165" s="112" t="s">
        <v>388</v>
      </c>
      <c r="C165" s="113">
        <v>0.27995101432132696</v>
      </c>
      <c r="D165" s="113">
        <v>0.24476655997669106</v>
      </c>
      <c r="E165" s="116">
        <v>771.0</v>
      </c>
    </row>
    <row r="166">
      <c r="A166" s="111" t="s">
        <v>2</v>
      </c>
      <c r="B166" s="112" t="s">
        <v>389</v>
      </c>
      <c r="C166" s="113">
        <v>0.29964729911109395</v>
      </c>
      <c r="D166" s="113">
        <v>0.25808616224890135</v>
      </c>
      <c r="E166" s="116">
        <v>771.0</v>
      </c>
    </row>
    <row r="167">
      <c r="A167" s="111" t="s">
        <v>2</v>
      </c>
      <c r="B167" s="112" t="s">
        <v>390</v>
      </c>
      <c r="C167" s="113">
        <v>0.31934358390086093</v>
      </c>
      <c r="D167" s="113">
        <v>0.27140576452111165</v>
      </c>
      <c r="E167" s="116">
        <v>771.0</v>
      </c>
    </row>
    <row r="168">
      <c r="A168" s="111" t="s">
        <v>2</v>
      </c>
      <c r="B168" s="112" t="s">
        <v>391</v>
      </c>
      <c r="C168" s="113">
        <v>0.3424853322939488</v>
      </c>
      <c r="D168" s="113">
        <v>0.2869379367079122</v>
      </c>
      <c r="E168" s="116">
        <v>1089.0</v>
      </c>
    </row>
    <row r="169">
      <c r="A169" s="111" t="s">
        <v>2</v>
      </c>
      <c r="B169" s="112" t="s">
        <v>392</v>
      </c>
      <c r="C169" s="113">
        <v>0.36562708068703664</v>
      </c>
      <c r="D169" s="113">
        <v>0.3024701088947127</v>
      </c>
      <c r="E169" s="116">
        <v>1089.0</v>
      </c>
    </row>
    <row r="170">
      <c r="A170" s="111" t="s">
        <v>2</v>
      </c>
      <c r="B170" s="112" t="s">
        <v>393</v>
      </c>
      <c r="C170" s="113">
        <v>0.3887688290801245</v>
      </c>
      <c r="D170" s="113">
        <v>0.31800228108151324</v>
      </c>
      <c r="E170" s="116">
        <v>1089.0</v>
      </c>
    </row>
    <row r="171">
      <c r="A171" s="111" t="s">
        <v>2</v>
      </c>
      <c r="B171" s="112" t="s">
        <v>394</v>
      </c>
      <c r="C171" s="113">
        <v>0.41191057747321236</v>
      </c>
      <c r="D171" s="113">
        <v>0.3335344532683137</v>
      </c>
      <c r="E171" s="116">
        <v>1089.0</v>
      </c>
    </row>
    <row r="172">
      <c r="A172" s="111" t="s">
        <v>2</v>
      </c>
      <c r="B172" s="112" t="s">
        <v>395</v>
      </c>
      <c r="C172" s="113">
        <v>0.3608972963054713</v>
      </c>
      <c r="D172" s="113">
        <v>0.3401978770296674</v>
      </c>
      <c r="E172" s="116">
        <v>1315.0</v>
      </c>
    </row>
    <row r="173">
      <c r="A173" s="111" t="s">
        <v>2</v>
      </c>
      <c r="B173" s="112" t="s">
        <v>396</v>
      </c>
      <c r="C173" s="113">
        <v>0.30988401513773023</v>
      </c>
      <c r="D173" s="113">
        <v>0.3468613007910211</v>
      </c>
      <c r="E173" s="116">
        <v>1315.0</v>
      </c>
    </row>
    <row r="174">
      <c r="A174" s="111" t="s">
        <v>2</v>
      </c>
      <c r="B174" s="112" t="s">
        <v>397</v>
      </c>
      <c r="C174" s="113">
        <v>0.25887073396998916</v>
      </c>
      <c r="D174" s="113">
        <v>0.3535247245523748</v>
      </c>
      <c r="E174" s="116">
        <v>1315.0</v>
      </c>
    </row>
    <row r="175">
      <c r="A175" s="111" t="s">
        <v>2</v>
      </c>
      <c r="B175" s="112" t="s">
        <v>398</v>
      </c>
      <c r="C175" s="113">
        <v>0.2078574528022481</v>
      </c>
      <c r="D175" s="113">
        <v>0.36018814831372853</v>
      </c>
      <c r="E175" s="116">
        <v>1315.0</v>
      </c>
    </row>
    <row r="176">
      <c r="A176" s="111" t="s">
        <v>2</v>
      </c>
      <c r="B176" s="112" t="s">
        <v>399</v>
      </c>
      <c r="C176" s="113">
        <v>0.22871017835893853</v>
      </c>
      <c r="D176" s="113">
        <v>0.3632617876776648</v>
      </c>
      <c r="E176" s="116">
        <v>1698.0</v>
      </c>
    </row>
    <row r="177">
      <c r="A177" s="111" t="s">
        <v>2</v>
      </c>
      <c r="B177" s="112" t="s">
        <v>400</v>
      </c>
      <c r="C177" s="113">
        <v>0.24956290391562896</v>
      </c>
      <c r="D177" s="113">
        <v>0.3663354270416011</v>
      </c>
      <c r="E177" s="116">
        <v>1698.0</v>
      </c>
    </row>
    <row r="178">
      <c r="A178" s="111" t="s">
        <v>2</v>
      </c>
      <c r="B178" s="112" t="s">
        <v>401</v>
      </c>
      <c r="C178" s="113">
        <v>0.2704156294723194</v>
      </c>
      <c r="D178" s="113">
        <v>0.3694090664055374</v>
      </c>
      <c r="E178" s="116">
        <v>1698.0</v>
      </c>
    </row>
    <row r="179">
      <c r="A179" s="111" t="s">
        <v>2</v>
      </c>
      <c r="B179" s="112" t="s">
        <v>402</v>
      </c>
      <c r="C179" s="113">
        <v>0.29126835502900983</v>
      </c>
      <c r="D179" s="113">
        <v>0.3724827057694737</v>
      </c>
      <c r="E179" s="116">
        <v>1698.0</v>
      </c>
    </row>
    <row r="180">
      <c r="A180" s="111" t="s">
        <v>2</v>
      </c>
      <c r="B180" s="112" t="s">
        <v>403</v>
      </c>
      <c r="C180" s="113">
        <v>0.2791236767299349</v>
      </c>
      <c r="D180" s="113">
        <v>0.3765292666938292</v>
      </c>
      <c r="E180" s="116">
        <v>2110.0</v>
      </c>
    </row>
    <row r="181">
      <c r="A181" s="111" t="s">
        <v>2</v>
      </c>
      <c r="B181" s="112" t="s">
        <v>404</v>
      </c>
      <c r="C181" s="113">
        <v>0.2669789984308599</v>
      </c>
      <c r="D181" s="113">
        <v>0.38057582761818476</v>
      </c>
      <c r="E181" s="116">
        <v>2110.0</v>
      </c>
    </row>
    <row r="182">
      <c r="A182" s="111" t="s">
        <v>2</v>
      </c>
      <c r="B182" s="112" t="s">
        <v>405</v>
      </c>
      <c r="C182" s="113">
        <v>0.254834320131785</v>
      </c>
      <c r="D182" s="113">
        <v>0.38462238854254027</v>
      </c>
      <c r="E182" s="116">
        <v>2110.0</v>
      </c>
    </row>
    <row r="183">
      <c r="A183" s="111" t="s">
        <v>2</v>
      </c>
      <c r="B183" s="112" t="s">
        <v>406</v>
      </c>
      <c r="C183" s="113">
        <v>0.24268964183271002</v>
      </c>
      <c r="D183" s="113">
        <v>0.38866894946689584</v>
      </c>
      <c r="E183" s="116">
        <v>2110.0</v>
      </c>
    </row>
    <row r="184">
      <c r="A184" s="111" t="s">
        <v>2</v>
      </c>
      <c r="B184" s="112" t="s">
        <v>407</v>
      </c>
      <c r="C184" s="113">
        <v>0.20517580417702141</v>
      </c>
      <c r="D184" s="113">
        <v>0.38721414643035906</v>
      </c>
      <c r="E184" s="116">
        <v>2306.0</v>
      </c>
    </row>
    <row r="185">
      <c r="A185" s="111" t="s">
        <v>2</v>
      </c>
      <c r="B185" s="112" t="s">
        <v>408</v>
      </c>
      <c r="C185" s="113">
        <v>0.1676619665213328</v>
      </c>
      <c r="D185" s="113">
        <v>0.38575934339382223</v>
      </c>
      <c r="E185" s="116">
        <v>2306.0</v>
      </c>
    </row>
    <row r="186">
      <c r="A186" s="111" t="s">
        <v>2</v>
      </c>
      <c r="B186" s="112" t="s">
        <v>409</v>
      </c>
      <c r="C186" s="113">
        <v>0.1301481288656442</v>
      </c>
      <c r="D186" s="113">
        <v>0.38430454035728545</v>
      </c>
      <c r="E186" s="116">
        <v>2306.0</v>
      </c>
    </row>
    <row r="187">
      <c r="A187" s="111" t="s">
        <v>2</v>
      </c>
      <c r="B187" s="112" t="s">
        <v>410</v>
      </c>
      <c r="C187" s="113">
        <v>0.09263429120995559</v>
      </c>
      <c r="D187" s="113">
        <v>0.3828497373207486</v>
      </c>
      <c r="E187" s="116">
        <v>2306.0</v>
      </c>
    </row>
    <row r="188">
      <c r="A188" s="111" t="s">
        <v>2</v>
      </c>
      <c r="B188" s="112" t="s">
        <v>411</v>
      </c>
      <c r="C188" s="113">
        <v>0.05234681850767281</v>
      </c>
      <c r="D188" s="113">
        <v>0.34073285699428585</v>
      </c>
      <c r="E188" s="116">
        <v>2148.0</v>
      </c>
    </row>
    <row r="189">
      <c r="A189" s="111" t="s">
        <v>2</v>
      </c>
      <c r="B189" s="112" t="s">
        <v>412</v>
      </c>
      <c r="C189" s="113">
        <v>0.05629184526576436</v>
      </c>
      <c r="D189" s="113">
        <v>0.31275790310228335</v>
      </c>
      <c r="E189" s="116">
        <v>2556.0</v>
      </c>
    </row>
    <row r="190">
      <c r="A190" s="111" t="s">
        <v>2</v>
      </c>
      <c r="B190" s="112" t="s">
        <v>413</v>
      </c>
      <c r="C190" s="113">
        <v>0.18328561439524044</v>
      </c>
      <c r="D190" s="113">
        <v>0.2710642983575744</v>
      </c>
      <c r="E190" s="116">
        <v>3691.0</v>
      </c>
    </row>
    <row r="191">
      <c r="A191" s="111" t="s">
        <v>2</v>
      </c>
      <c r="B191" s="112" t="s">
        <v>414</v>
      </c>
      <c r="C191" s="113">
        <v>0.164680739467651</v>
      </c>
      <c r="D191" s="113">
        <v>0.2565912166679324</v>
      </c>
      <c r="E191" s="116">
        <v>2348.0</v>
      </c>
    </row>
    <row r="192">
      <c r="A192" s="111" t="s">
        <v>2</v>
      </c>
      <c r="B192" s="112" t="s">
        <v>415</v>
      </c>
      <c r="C192" s="113">
        <v>0.2133976281942605</v>
      </c>
      <c r="D192" s="113">
        <v>0.2575142548464148</v>
      </c>
      <c r="E192" s="116">
        <v>2419.0</v>
      </c>
    </row>
    <row r="193">
      <c r="A193" s="111" t="s">
        <v>2</v>
      </c>
      <c r="B193" s="112" t="s">
        <v>416</v>
      </c>
      <c r="C193" s="113">
        <v>0.23212305836763936</v>
      </c>
      <c r="D193" s="113">
        <v>0.261119229300783</v>
      </c>
      <c r="E193" s="116">
        <v>3025.0</v>
      </c>
    </row>
    <row r="194">
      <c r="A194" s="111" t="s">
        <v>2</v>
      </c>
      <c r="B194" s="112" t="s">
        <v>417</v>
      </c>
      <c r="C194" s="113">
        <v>0.13229779581795564</v>
      </c>
      <c r="D194" s="113">
        <v>0.323633523427396</v>
      </c>
      <c r="E194" s="116">
        <v>4434.0</v>
      </c>
    </row>
    <row r="195">
      <c r="A195" s="111" t="s">
        <v>2</v>
      </c>
      <c r="B195" s="112" t="s">
        <v>418</v>
      </c>
      <c r="C195" s="113">
        <v>0.17618958346264735</v>
      </c>
      <c r="D195" s="113">
        <v>0.32641129529630497</v>
      </c>
      <c r="E195" s="116">
        <v>2803.0</v>
      </c>
    </row>
    <row r="196">
      <c r="A196" s="111" t="s">
        <v>2</v>
      </c>
      <c r="B196" s="112" t="s">
        <v>419</v>
      </c>
      <c r="C196" s="113">
        <v>0.1971762163195191</v>
      </c>
      <c r="D196" s="113">
        <v>0.33621009457732076</v>
      </c>
      <c r="E196" s="116">
        <v>2928.0</v>
      </c>
    </row>
    <row r="197">
      <c r="A197" s="111" t="s">
        <v>2</v>
      </c>
      <c r="B197" s="112" t="s">
        <v>420</v>
      </c>
      <c r="C197" s="113">
        <v>0.19371191714435915</v>
      </c>
      <c r="D197" s="113">
        <v>0.3503128526194539</v>
      </c>
      <c r="E197" s="116">
        <v>3537.0</v>
      </c>
    </row>
    <row r="198">
      <c r="A198" s="111" t="s">
        <v>2</v>
      </c>
      <c r="B198" s="112" t="s">
        <v>421</v>
      </c>
      <c r="C198" s="113">
        <v>0.1667868610686462</v>
      </c>
      <c r="D198" s="113">
        <v>0.34930893129378987</v>
      </c>
      <c r="E198" s="116">
        <v>4849.0</v>
      </c>
    </row>
    <row r="199">
      <c r="A199" s="111" t="s">
        <v>2</v>
      </c>
      <c r="B199" s="112" t="s">
        <v>422</v>
      </c>
      <c r="C199" s="113">
        <v>0.15490933844595123</v>
      </c>
      <c r="D199" s="113">
        <v>0.3144670324301496</v>
      </c>
      <c r="E199" s="116">
        <v>3213.0</v>
      </c>
    </row>
    <row r="200">
      <c r="A200" s="111" t="s">
        <v>2</v>
      </c>
      <c r="B200" s="112" t="s">
        <v>423</v>
      </c>
      <c r="C200" s="113">
        <v>0.09454828065354046</v>
      </c>
      <c r="D200" s="113">
        <v>0.33545101565850255</v>
      </c>
      <c r="E200" s="116">
        <v>2837.0</v>
      </c>
    </row>
    <row r="201">
      <c r="A201" s="111" t="s">
        <v>2</v>
      </c>
      <c r="B201" s="112" t="s">
        <v>424</v>
      </c>
      <c r="C201" s="113">
        <v>0.07429958659249888</v>
      </c>
      <c r="D201" s="113">
        <v>0.32838242610044</v>
      </c>
      <c r="E201" s="116">
        <v>3850.0</v>
      </c>
    </row>
    <row r="202">
      <c r="A202" s="111" t="s">
        <v>2</v>
      </c>
      <c r="B202" s="112" t="s">
        <v>425</v>
      </c>
      <c r="C202" s="113">
        <v>0.060740131685362214</v>
      </c>
      <c r="D202" s="113">
        <v>0.33006552530131444</v>
      </c>
      <c r="E202" s="116">
        <v>5040.0</v>
      </c>
    </row>
    <row r="203">
      <c r="A203" s="111" t="s">
        <v>2</v>
      </c>
      <c r="B203" s="112" t="s">
        <v>426</v>
      </c>
      <c r="C203" s="113">
        <v>0.03397609035709351</v>
      </c>
      <c r="D203" s="113">
        <v>0.38720955691815406</v>
      </c>
      <c r="E203" s="116">
        <v>3339.0</v>
      </c>
    </row>
    <row r="204">
      <c r="A204" s="111" t="s">
        <v>2</v>
      </c>
      <c r="B204" s="112" t="s">
        <v>427</v>
      </c>
      <c r="C204" s="113">
        <v>-0.006616042445004383</v>
      </c>
      <c r="D204" s="113">
        <v>0.2230183220867183</v>
      </c>
      <c r="E204" s="116">
        <v>2288.0</v>
      </c>
    </row>
    <row r="205">
      <c r="A205" s="111" t="s">
        <v>2</v>
      </c>
      <c r="B205" s="112" t="s">
        <v>428</v>
      </c>
      <c r="C205" s="113">
        <v>-0.23782298803367127</v>
      </c>
      <c r="D205" s="113">
        <v>0.22757820664660283</v>
      </c>
      <c r="E205" s="116">
        <v>630.0</v>
      </c>
    </row>
    <row r="206">
      <c r="A206" s="111" t="s">
        <v>2</v>
      </c>
      <c r="B206" s="112" t="s">
        <v>429</v>
      </c>
      <c r="C206" s="113">
        <v>-0.3</v>
      </c>
      <c r="D206" s="113">
        <v>0.18943787475627097</v>
      </c>
      <c r="E206" s="116">
        <v>2640.0</v>
      </c>
    </row>
    <row r="207">
      <c r="A207" s="111" t="s">
        <v>2</v>
      </c>
      <c r="B207" s="112" t="s">
        <v>430</v>
      </c>
      <c r="C207" s="113">
        <v>-0.3</v>
      </c>
      <c r="D207" s="113">
        <v>0.13259357710589537</v>
      </c>
      <c r="E207" s="116">
        <v>1238.0</v>
      </c>
    </row>
    <row r="208">
      <c r="A208" s="111" t="s">
        <v>2</v>
      </c>
      <c r="B208" s="112" t="s">
        <v>431</v>
      </c>
      <c r="C208" s="113">
        <v>-0.3</v>
      </c>
      <c r="D208" s="113">
        <v>0.15057195608887558</v>
      </c>
      <c r="E208" s="116">
        <v>1141.0</v>
      </c>
    </row>
    <row r="209">
      <c r="A209" s="111" t="s">
        <v>2</v>
      </c>
      <c r="B209" s="112" t="s">
        <v>432</v>
      </c>
      <c r="C209" s="113">
        <v>0.20545986377354297</v>
      </c>
      <c r="D209" s="113">
        <v>0.06289007778199725</v>
      </c>
      <c r="E209" s="116">
        <v>2160.0</v>
      </c>
    </row>
    <row r="210">
      <c r="A210" s="111" t="s">
        <v>2</v>
      </c>
      <c r="B210" s="112" t="s">
        <v>433</v>
      </c>
      <c r="C210" s="113">
        <v>0.5173105131241924</v>
      </c>
      <c r="D210" s="113">
        <v>0.03557174367099848</v>
      </c>
      <c r="E210" s="116">
        <v>4676.0</v>
      </c>
    </row>
    <row r="211">
      <c r="A211" s="111" t="s">
        <v>2</v>
      </c>
      <c r="B211" s="112" t="s">
        <v>434</v>
      </c>
      <c r="C211" s="113">
        <v>1.0</v>
      </c>
      <c r="D211" s="113">
        <v>0.054530195665563955</v>
      </c>
      <c r="E211" s="116">
        <v>2981.0</v>
      </c>
    </row>
    <row r="212">
      <c r="A212" s="111" t="s">
        <v>2</v>
      </c>
      <c r="B212" s="112" t="s">
        <v>435</v>
      </c>
      <c r="C212" s="113">
        <v>1.0</v>
      </c>
      <c r="D212" s="113">
        <v>0.03668471949405798</v>
      </c>
      <c r="E212" s="116">
        <v>2695.0</v>
      </c>
    </row>
    <row r="213">
      <c r="A213" s="111" t="s">
        <v>2</v>
      </c>
      <c r="B213" s="112" t="s">
        <v>436</v>
      </c>
      <c r="C213" s="113">
        <v>1.0</v>
      </c>
      <c r="D213" s="113">
        <v>0.10803465437304502</v>
      </c>
      <c r="E213" s="116">
        <v>4294.0</v>
      </c>
    </row>
    <row r="214">
      <c r="A214" s="111" t="s">
        <v>2</v>
      </c>
      <c r="B214" s="112" t="s">
        <v>437</v>
      </c>
      <c r="C214" s="113">
        <v>1.0</v>
      </c>
      <c r="D214" s="113">
        <v>0.1461686592365123</v>
      </c>
      <c r="E214" s="116">
        <v>6052.0</v>
      </c>
    </row>
    <row r="215">
      <c r="A215" s="111" t="s">
        <v>2</v>
      </c>
      <c r="B215" s="112" t="s">
        <v>438</v>
      </c>
      <c r="C215" s="113">
        <v>0.7506159490071727</v>
      </c>
      <c r="D215" s="113">
        <v>0.16738701349778456</v>
      </c>
      <c r="E215" s="116">
        <v>4049.0</v>
      </c>
    </row>
    <row r="216">
      <c r="A216" s="111" t="s">
        <v>2</v>
      </c>
      <c r="B216" s="112" t="s">
        <v>439</v>
      </c>
      <c r="C216" s="113">
        <v>0.5105889733535536</v>
      </c>
      <c r="D216" s="113">
        <v>0.26619426198551405</v>
      </c>
      <c r="E216" s="116">
        <v>3778.0</v>
      </c>
    </row>
    <row r="217">
      <c r="A217" s="111" t="s">
        <v>2</v>
      </c>
      <c r="B217" s="112" t="s">
        <v>440</v>
      </c>
      <c r="C217" s="113">
        <v>0.33160009567755433</v>
      </c>
      <c r="D217" s="113">
        <v>0.2736468194102551</v>
      </c>
      <c r="E217" s="116">
        <v>5462.0</v>
      </c>
    </row>
    <row r="218">
      <c r="A218" s="111" t="s">
        <v>2</v>
      </c>
      <c r="B218" s="112" t="s">
        <v>441</v>
      </c>
      <c r="C218" s="113">
        <v>0.3112798048080611</v>
      </c>
      <c r="D218" s="113">
        <v>0.29099933697743585</v>
      </c>
      <c r="E218" s="116">
        <v>7341.0</v>
      </c>
    </row>
    <row r="219">
      <c r="A219" s="111" t="s">
        <v>2</v>
      </c>
      <c r="B219" s="112" t="s">
        <v>442</v>
      </c>
      <c r="C219" s="113">
        <v>0.26709412119680753</v>
      </c>
      <c r="D219" s="113">
        <v>0.22282541391868482</v>
      </c>
      <c r="E219" s="116">
        <v>4784.0</v>
      </c>
    </row>
    <row r="220">
      <c r="A220" s="111" t="s">
        <v>2</v>
      </c>
      <c r="B220" s="112" t="s">
        <v>443</v>
      </c>
      <c r="C220" s="113">
        <v>0.20878223154369424</v>
      </c>
      <c r="D220" s="113">
        <v>0.2558328804037354</v>
      </c>
      <c r="E220" s="116">
        <v>4415.0</v>
      </c>
    </row>
    <row r="221">
      <c r="A221" s="111" t="s">
        <v>2</v>
      </c>
      <c r="B221" s="112" t="s">
        <v>444</v>
      </c>
      <c r="C221" s="113">
        <v>0.15895136811278654</v>
      </c>
      <c r="D221" s="113">
        <v>0.2637863404809596</v>
      </c>
      <c r="E221" s="116">
        <v>5859.0</v>
      </c>
    </row>
    <row r="222">
      <c r="A222" s="111" t="s">
        <v>3</v>
      </c>
      <c r="B222" s="112" t="s">
        <v>335</v>
      </c>
      <c r="C222" s="113"/>
      <c r="D222" s="113"/>
      <c r="E222" s="116"/>
    </row>
    <row r="223">
      <c r="A223" s="111" t="s">
        <v>3</v>
      </c>
      <c r="B223" s="112" t="s">
        <v>336</v>
      </c>
      <c r="C223" s="113"/>
      <c r="D223" s="113"/>
      <c r="E223" s="116"/>
    </row>
    <row r="224">
      <c r="A224" s="111" t="s">
        <v>3</v>
      </c>
      <c r="B224" s="112" t="s">
        <v>337</v>
      </c>
      <c r="C224" s="113"/>
      <c r="D224" s="113"/>
      <c r="E224" s="116"/>
    </row>
    <row r="225">
      <c r="A225" s="111" t="s">
        <v>3</v>
      </c>
      <c r="B225" s="112" t="s">
        <v>338</v>
      </c>
      <c r="C225" s="113"/>
      <c r="D225" s="113"/>
      <c r="E225" s="116"/>
    </row>
    <row r="226">
      <c r="A226" s="111" t="s">
        <v>3</v>
      </c>
      <c r="B226" s="112" t="s">
        <v>339</v>
      </c>
      <c r="C226" s="113"/>
      <c r="D226" s="117"/>
      <c r="E226" s="116"/>
    </row>
    <row r="227">
      <c r="A227" s="111" t="s">
        <v>3</v>
      </c>
      <c r="B227" s="112" t="s">
        <v>340</v>
      </c>
      <c r="C227" s="113"/>
      <c r="D227" s="117"/>
      <c r="E227" s="116"/>
    </row>
    <row r="228">
      <c r="A228" s="111" t="s">
        <v>3</v>
      </c>
      <c r="B228" s="112" t="s">
        <v>341</v>
      </c>
      <c r="C228" s="113"/>
      <c r="D228" s="117"/>
      <c r="E228" s="116"/>
    </row>
    <row r="229">
      <c r="A229" s="111" t="s">
        <v>3</v>
      </c>
      <c r="B229" s="112" t="s">
        <v>342</v>
      </c>
      <c r="C229" s="117">
        <v>1.0</v>
      </c>
      <c r="D229" s="117">
        <v>-0.5</v>
      </c>
      <c r="E229" s="116">
        <v>3.5</v>
      </c>
    </row>
    <row r="230">
      <c r="A230" s="111" t="s">
        <v>3</v>
      </c>
      <c r="B230" s="112" t="s">
        <v>343</v>
      </c>
      <c r="C230" s="117">
        <v>1.0</v>
      </c>
      <c r="D230" s="117">
        <v>-0.5</v>
      </c>
      <c r="E230" s="116">
        <v>10.0</v>
      </c>
    </row>
    <row r="231">
      <c r="A231" s="111" t="s">
        <v>3</v>
      </c>
      <c r="B231" s="112" t="s">
        <v>344</v>
      </c>
      <c r="C231" s="117">
        <v>1.0</v>
      </c>
      <c r="D231" s="117">
        <v>-0.5</v>
      </c>
      <c r="E231" s="116">
        <v>10.0</v>
      </c>
    </row>
    <row r="232">
      <c r="A232" s="111" t="s">
        <v>3</v>
      </c>
      <c r="B232" s="112" t="s">
        <v>345</v>
      </c>
      <c r="C232" s="117">
        <v>1.0</v>
      </c>
      <c r="D232" s="117">
        <v>-0.5</v>
      </c>
      <c r="E232" s="116">
        <v>10.0</v>
      </c>
    </row>
    <row r="233">
      <c r="A233" s="111" t="s">
        <v>3</v>
      </c>
      <c r="B233" s="112" t="s">
        <v>346</v>
      </c>
      <c r="C233" s="117">
        <v>1.0</v>
      </c>
      <c r="D233" s="117">
        <v>-0.49</v>
      </c>
      <c r="E233" s="116">
        <v>10.0</v>
      </c>
    </row>
    <row r="234">
      <c r="A234" s="111" t="s">
        <v>3</v>
      </c>
      <c r="B234" s="112" t="s">
        <v>347</v>
      </c>
      <c r="C234" s="117">
        <v>1.0</v>
      </c>
      <c r="D234" s="117">
        <v>-0.5</v>
      </c>
      <c r="E234" s="116">
        <v>24.0</v>
      </c>
    </row>
    <row r="235">
      <c r="A235" s="111" t="s">
        <v>3</v>
      </c>
      <c r="B235" s="112" t="s">
        <v>348</v>
      </c>
      <c r="C235" s="117">
        <v>1.0</v>
      </c>
      <c r="D235" s="117">
        <v>-0.5</v>
      </c>
      <c r="E235" s="116">
        <v>24.0</v>
      </c>
    </row>
    <row r="236">
      <c r="A236" s="111" t="s">
        <v>3</v>
      </c>
      <c r="B236" s="112" t="s">
        <v>349</v>
      </c>
      <c r="C236" s="117">
        <v>1.0</v>
      </c>
      <c r="D236" s="117">
        <v>-0.5</v>
      </c>
      <c r="E236" s="116">
        <v>24.0</v>
      </c>
    </row>
    <row r="237">
      <c r="A237" s="111" t="s">
        <v>3</v>
      </c>
      <c r="B237" s="112" t="s">
        <v>350</v>
      </c>
      <c r="C237" s="117">
        <v>1.0</v>
      </c>
      <c r="D237" s="117">
        <v>-0.5</v>
      </c>
      <c r="E237" s="116">
        <v>24.0</v>
      </c>
    </row>
    <row r="238">
      <c r="A238" s="111" t="s">
        <v>3</v>
      </c>
      <c r="B238" s="112" t="s">
        <v>351</v>
      </c>
      <c r="C238" s="117">
        <v>1.0</v>
      </c>
      <c r="D238" s="117">
        <v>-0.5</v>
      </c>
      <c r="E238" s="116">
        <v>56.0</v>
      </c>
    </row>
    <row r="239">
      <c r="A239" s="111" t="s">
        <v>3</v>
      </c>
      <c r="B239" s="112" t="s">
        <v>352</v>
      </c>
      <c r="C239" s="117">
        <v>1.0</v>
      </c>
      <c r="D239" s="117">
        <v>-0.5</v>
      </c>
      <c r="E239" s="116">
        <v>56.0</v>
      </c>
    </row>
    <row r="240">
      <c r="A240" s="111" t="s">
        <v>3</v>
      </c>
      <c r="B240" s="112" t="s">
        <v>353</v>
      </c>
      <c r="C240" s="117">
        <v>1.0</v>
      </c>
      <c r="D240" s="117">
        <v>-0.33</v>
      </c>
      <c r="E240" s="116">
        <v>56.0</v>
      </c>
    </row>
    <row r="241">
      <c r="A241" s="111" t="s">
        <v>3</v>
      </c>
      <c r="B241" s="112" t="s">
        <v>354</v>
      </c>
      <c r="C241" s="117">
        <v>1.0</v>
      </c>
      <c r="D241" s="117">
        <v>-0.06</v>
      </c>
      <c r="E241" s="116">
        <v>56.0</v>
      </c>
    </row>
    <row r="242">
      <c r="A242" s="111" t="s">
        <v>3</v>
      </c>
      <c r="B242" s="112" t="s">
        <v>355</v>
      </c>
      <c r="C242" s="117">
        <v>1.0</v>
      </c>
      <c r="D242" s="117">
        <v>0.0</v>
      </c>
      <c r="E242" s="116">
        <v>375.0</v>
      </c>
    </row>
    <row r="243">
      <c r="A243" s="111" t="s">
        <v>3</v>
      </c>
      <c r="B243" s="112" t="s">
        <v>356</v>
      </c>
      <c r="C243" s="117">
        <v>1.0</v>
      </c>
      <c r="D243" s="117">
        <v>0.06</v>
      </c>
      <c r="E243" s="116">
        <v>375.0</v>
      </c>
    </row>
    <row r="244">
      <c r="A244" s="111" t="s">
        <v>3</v>
      </c>
      <c r="B244" s="112" t="s">
        <v>357</v>
      </c>
      <c r="C244" s="117">
        <v>1.0</v>
      </c>
      <c r="D244" s="117">
        <v>0.11</v>
      </c>
      <c r="E244" s="116">
        <v>375.0</v>
      </c>
    </row>
    <row r="245">
      <c r="A245" s="111" t="s">
        <v>3</v>
      </c>
      <c r="B245" s="112" t="s">
        <v>358</v>
      </c>
      <c r="C245" s="117">
        <v>1.0</v>
      </c>
      <c r="D245" s="117">
        <v>0.17</v>
      </c>
      <c r="E245" s="116">
        <v>375.0</v>
      </c>
    </row>
    <row r="246">
      <c r="A246" s="111" t="s">
        <v>3</v>
      </c>
      <c r="B246" s="112" t="s">
        <v>359</v>
      </c>
      <c r="C246" s="117">
        <v>1.0</v>
      </c>
      <c r="D246" s="117">
        <v>0.17</v>
      </c>
      <c r="E246" s="116">
        <v>585.0</v>
      </c>
    </row>
    <row r="247">
      <c r="A247" s="111" t="s">
        <v>3</v>
      </c>
      <c r="B247" s="112" t="s">
        <v>360</v>
      </c>
      <c r="C247" s="117">
        <v>1.0</v>
      </c>
      <c r="D247" s="117">
        <v>0.16</v>
      </c>
      <c r="E247" s="116">
        <v>585.0</v>
      </c>
    </row>
    <row r="248">
      <c r="A248" s="111" t="s">
        <v>3</v>
      </c>
      <c r="B248" s="112" t="s">
        <v>361</v>
      </c>
      <c r="C248" s="117">
        <v>1.0</v>
      </c>
      <c r="D248" s="117">
        <v>0.16</v>
      </c>
      <c r="E248" s="116">
        <v>585.0</v>
      </c>
    </row>
    <row r="249">
      <c r="A249" s="111" t="s">
        <v>3</v>
      </c>
      <c r="B249" s="112" t="s">
        <v>362</v>
      </c>
      <c r="C249" s="117">
        <v>0.56</v>
      </c>
      <c r="D249" s="117">
        <v>0.16</v>
      </c>
      <c r="E249" s="116">
        <v>585.0</v>
      </c>
    </row>
    <row r="250">
      <c r="A250" s="111" t="s">
        <v>3</v>
      </c>
      <c r="B250" s="112" t="s">
        <v>363</v>
      </c>
      <c r="C250" s="117">
        <v>0.37</v>
      </c>
      <c r="D250" s="117">
        <v>0.17</v>
      </c>
      <c r="E250" s="116">
        <v>461.0</v>
      </c>
    </row>
    <row r="251">
      <c r="A251" s="111" t="s">
        <v>3</v>
      </c>
      <c r="B251" s="112" t="s">
        <v>364</v>
      </c>
      <c r="C251" s="117">
        <v>0.17</v>
      </c>
      <c r="D251" s="117">
        <v>0.19</v>
      </c>
      <c r="E251" s="116">
        <v>461.0</v>
      </c>
    </row>
    <row r="252">
      <c r="A252" s="111" t="s">
        <v>3</v>
      </c>
      <c r="B252" s="112" t="s">
        <v>365</v>
      </c>
      <c r="C252" s="117">
        <v>-0.02</v>
      </c>
      <c r="D252" s="117">
        <v>0.21</v>
      </c>
      <c r="E252" s="116">
        <v>461.0</v>
      </c>
    </row>
    <row r="253">
      <c r="A253" s="111" t="s">
        <v>3</v>
      </c>
      <c r="B253" s="112" t="s">
        <v>366</v>
      </c>
      <c r="C253" s="117">
        <v>-0.21</v>
      </c>
      <c r="D253" s="117">
        <v>0.22</v>
      </c>
      <c r="E253" s="116">
        <v>461.0</v>
      </c>
    </row>
    <row r="254">
      <c r="A254" s="111" t="s">
        <v>3</v>
      </c>
      <c r="B254" s="112" t="s">
        <v>367</v>
      </c>
      <c r="C254" s="117">
        <v>-0.12</v>
      </c>
      <c r="D254" s="117">
        <v>0.23</v>
      </c>
      <c r="E254" s="116">
        <v>530.0</v>
      </c>
    </row>
    <row r="255">
      <c r="A255" s="111" t="s">
        <v>3</v>
      </c>
      <c r="B255" s="112" t="s">
        <v>368</v>
      </c>
      <c r="C255" s="117">
        <v>-0.03</v>
      </c>
      <c r="D255" s="117">
        <v>0.25</v>
      </c>
      <c r="E255" s="116">
        <v>530.0</v>
      </c>
    </row>
    <row r="256">
      <c r="A256" s="111" t="s">
        <v>3</v>
      </c>
      <c r="B256" s="112" t="s">
        <v>369</v>
      </c>
      <c r="C256" s="117">
        <v>0.06</v>
      </c>
      <c r="D256" s="117">
        <v>0.26</v>
      </c>
      <c r="E256" s="116">
        <v>530.0</v>
      </c>
    </row>
    <row r="257">
      <c r="A257" s="111" t="s">
        <v>3</v>
      </c>
      <c r="B257" s="112" t="s">
        <v>370</v>
      </c>
      <c r="C257" s="117">
        <v>0.15</v>
      </c>
      <c r="D257" s="117">
        <v>0.27</v>
      </c>
      <c r="E257" s="116">
        <v>530.0</v>
      </c>
    </row>
    <row r="258">
      <c r="A258" s="111" t="s">
        <v>3</v>
      </c>
      <c r="B258" s="112" t="s">
        <v>371</v>
      </c>
      <c r="C258" s="117">
        <v>0.13</v>
      </c>
      <c r="D258" s="117">
        <v>0.27</v>
      </c>
      <c r="E258" s="116">
        <v>559.0</v>
      </c>
    </row>
    <row r="259">
      <c r="A259" s="111" t="s">
        <v>3</v>
      </c>
      <c r="B259" s="112" t="s">
        <v>372</v>
      </c>
      <c r="C259" s="117">
        <v>0.1</v>
      </c>
      <c r="D259" s="117">
        <v>0.26</v>
      </c>
      <c r="E259" s="116">
        <v>559.0</v>
      </c>
    </row>
    <row r="260">
      <c r="A260" s="111" t="s">
        <v>3</v>
      </c>
      <c r="B260" s="112" t="s">
        <v>373</v>
      </c>
      <c r="C260" s="117">
        <v>0.08</v>
      </c>
      <c r="D260" s="117">
        <v>0.25</v>
      </c>
      <c r="E260" s="116">
        <v>559.0</v>
      </c>
    </row>
    <row r="261">
      <c r="A261" s="111" t="s">
        <v>3</v>
      </c>
      <c r="B261" s="112" t="s">
        <v>374</v>
      </c>
      <c r="C261" s="117">
        <v>0.06</v>
      </c>
      <c r="D261" s="117">
        <v>0.25</v>
      </c>
      <c r="E261" s="116">
        <v>559.0</v>
      </c>
    </row>
    <row r="262">
      <c r="A262" s="111" t="s">
        <v>3</v>
      </c>
      <c r="B262" s="112" t="s">
        <v>375</v>
      </c>
      <c r="C262" s="117">
        <v>0.09</v>
      </c>
      <c r="D262" s="117">
        <v>0.25</v>
      </c>
      <c r="E262" s="116">
        <v>666.0</v>
      </c>
    </row>
    <row r="263">
      <c r="A263" s="111" t="s">
        <v>3</v>
      </c>
      <c r="B263" s="112" t="s">
        <v>376</v>
      </c>
      <c r="C263" s="117">
        <v>0.12</v>
      </c>
      <c r="D263" s="117">
        <v>0.25</v>
      </c>
      <c r="E263" s="116">
        <v>666.0</v>
      </c>
    </row>
    <row r="264">
      <c r="A264" s="111" t="s">
        <v>3</v>
      </c>
      <c r="B264" s="112" t="s">
        <v>377</v>
      </c>
      <c r="C264" s="117">
        <v>0.16</v>
      </c>
      <c r="D264" s="117">
        <v>0.25</v>
      </c>
      <c r="E264" s="116">
        <v>666.0</v>
      </c>
    </row>
    <row r="265">
      <c r="A265" s="111" t="s">
        <v>3</v>
      </c>
      <c r="B265" s="112" t="s">
        <v>378</v>
      </c>
      <c r="C265" s="117">
        <v>0.19</v>
      </c>
      <c r="D265" s="117">
        <v>0.25</v>
      </c>
      <c r="E265" s="116">
        <v>666.0</v>
      </c>
    </row>
    <row r="266">
      <c r="A266" s="111" t="s">
        <v>3</v>
      </c>
      <c r="B266" s="112" t="s">
        <v>379</v>
      </c>
      <c r="C266" s="117">
        <v>0.17</v>
      </c>
      <c r="D266" s="117">
        <v>0.25</v>
      </c>
      <c r="E266" s="116">
        <v>734.0</v>
      </c>
    </row>
    <row r="267">
      <c r="A267" s="111" t="s">
        <v>3</v>
      </c>
      <c r="B267" s="112" t="s">
        <v>380</v>
      </c>
      <c r="C267" s="117">
        <v>0.15</v>
      </c>
      <c r="D267" s="117">
        <v>0.25</v>
      </c>
      <c r="E267" s="116">
        <v>734.0</v>
      </c>
    </row>
    <row r="268">
      <c r="A268" s="111" t="s">
        <v>3</v>
      </c>
      <c r="B268" s="112" t="s">
        <v>381</v>
      </c>
      <c r="C268" s="117">
        <v>0.12</v>
      </c>
      <c r="D268" s="117">
        <v>0.24</v>
      </c>
      <c r="E268" s="116">
        <v>734.0</v>
      </c>
    </row>
    <row r="269">
      <c r="A269" s="111" t="s">
        <v>3</v>
      </c>
      <c r="B269" s="112" t="s">
        <v>382</v>
      </c>
      <c r="C269" s="117">
        <v>0.1</v>
      </c>
      <c r="D269" s="117">
        <v>0.24</v>
      </c>
      <c r="E269" s="116">
        <v>734.0</v>
      </c>
    </row>
    <row r="270">
      <c r="A270" s="111" t="s">
        <v>3</v>
      </c>
      <c r="B270" s="112" t="s">
        <v>383</v>
      </c>
      <c r="C270" s="117">
        <v>0.06</v>
      </c>
      <c r="D270" s="117">
        <v>0.24</v>
      </c>
      <c r="E270" s="116">
        <v>686.0</v>
      </c>
    </row>
    <row r="271">
      <c r="A271" s="111" t="s">
        <v>3</v>
      </c>
      <c r="B271" s="112" t="s">
        <v>384</v>
      </c>
      <c r="C271" s="117">
        <v>0.02</v>
      </c>
      <c r="D271" s="117">
        <v>0.23</v>
      </c>
      <c r="E271" s="116">
        <v>686.0</v>
      </c>
    </row>
    <row r="272">
      <c r="A272" s="111" t="s">
        <v>3</v>
      </c>
      <c r="B272" s="112" t="s">
        <v>385</v>
      </c>
      <c r="C272" s="117">
        <v>-0.02</v>
      </c>
      <c r="D272" s="117">
        <v>0.23</v>
      </c>
      <c r="E272" s="116">
        <v>686.0</v>
      </c>
    </row>
    <row r="273">
      <c r="A273" s="111" t="s">
        <v>3</v>
      </c>
      <c r="B273" s="112" t="s">
        <v>386</v>
      </c>
      <c r="C273" s="117">
        <v>-0.07</v>
      </c>
      <c r="D273" s="117">
        <v>0.23</v>
      </c>
      <c r="E273" s="116">
        <v>686.0</v>
      </c>
    </row>
    <row r="274">
      <c r="A274" s="111" t="s">
        <v>3</v>
      </c>
      <c r="B274" s="112" t="s">
        <v>387</v>
      </c>
      <c r="C274" s="117">
        <v>-0.02</v>
      </c>
      <c r="D274" s="117">
        <v>0.22</v>
      </c>
      <c r="E274" s="116">
        <v>758.0</v>
      </c>
    </row>
    <row r="275">
      <c r="A275" s="111" t="s">
        <v>3</v>
      </c>
      <c r="B275" s="112" t="s">
        <v>388</v>
      </c>
      <c r="C275" s="117">
        <v>0.02</v>
      </c>
      <c r="D275" s="117">
        <v>0.22</v>
      </c>
      <c r="E275" s="116">
        <v>758.0</v>
      </c>
    </row>
    <row r="276">
      <c r="A276" s="111" t="s">
        <v>3</v>
      </c>
      <c r="B276" s="112" t="s">
        <v>389</v>
      </c>
      <c r="C276" s="117">
        <v>0.06</v>
      </c>
      <c r="D276" s="117">
        <v>0.22</v>
      </c>
      <c r="E276" s="116">
        <v>758.0</v>
      </c>
    </row>
    <row r="277">
      <c r="A277" s="111" t="s">
        <v>3</v>
      </c>
      <c r="B277" s="112" t="s">
        <v>390</v>
      </c>
      <c r="C277" s="117">
        <v>0.11</v>
      </c>
      <c r="D277" s="117">
        <v>0.21</v>
      </c>
      <c r="E277" s="116">
        <v>758.0</v>
      </c>
    </row>
    <row r="278">
      <c r="A278" s="111" t="s">
        <v>3</v>
      </c>
      <c r="B278" s="112" t="s">
        <v>391</v>
      </c>
      <c r="C278" s="117">
        <v>0.11</v>
      </c>
      <c r="D278" s="117">
        <v>0.21</v>
      </c>
      <c r="E278" s="116">
        <v>862.0</v>
      </c>
    </row>
    <row r="279">
      <c r="A279" s="111" t="s">
        <v>3</v>
      </c>
      <c r="B279" s="112" t="s">
        <v>392</v>
      </c>
      <c r="C279" s="117">
        <v>0.12</v>
      </c>
      <c r="D279" s="117">
        <v>0.2</v>
      </c>
      <c r="E279" s="116">
        <v>862.0</v>
      </c>
    </row>
    <row r="280">
      <c r="A280" s="111" t="s">
        <v>3</v>
      </c>
      <c r="B280" s="112" t="s">
        <v>393</v>
      </c>
      <c r="C280" s="117">
        <v>0.13</v>
      </c>
      <c r="D280" s="117">
        <v>0.2</v>
      </c>
      <c r="E280" s="116">
        <v>862.0</v>
      </c>
    </row>
    <row r="281">
      <c r="A281" s="111" t="s">
        <v>3</v>
      </c>
      <c r="B281" s="112" t="s">
        <v>394</v>
      </c>
      <c r="C281" s="117">
        <v>0.14</v>
      </c>
      <c r="D281" s="117">
        <v>0.19</v>
      </c>
      <c r="E281" s="116">
        <v>862.0</v>
      </c>
    </row>
    <row r="282">
      <c r="A282" s="111" t="s">
        <v>3</v>
      </c>
      <c r="B282" s="112" t="s">
        <v>395</v>
      </c>
      <c r="C282" s="117">
        <v>0.14</v>
      </c>
      <c r="D282" s="117">
        <v>0.19</v>
      </c>
      <c r="E282" s="116">
        <v>1008.0</v>
      </c>
    </row>
    <row r="283">
      <c r="A283" s="111" t="s">
        <v>3</v>
      </c>
      <c r="B283" s="112" t="s">
        <v>396</v>
      </c>
      <c r="C283" s="117">
        <v>0.15</v>
      </c>
      <c r="D283" s="117">
        <v>0.19</v>
      </c>
      <c r="E283" s="116">
        <v>1008.0</v>
      </c>
    </row>
    <row r="284">
      <c r="A284" s="111" t="s">
        <v>3</v>
      </c>
      <c r="B284" s="112" t="s">
        <v>397</v>
      </c>
      <c r="C284" s="117">
        <v>0.16</v>
      </c>
      <c r="D284" s="117">
        <v>0.19</v>
      </c>
      <c r="E284" s="116">
        <v>1008.0</v>
      </c>
    </row>
    <row r="285">
      <c r="A285" s="111" t="s">
        <v>3</v>
      </c>
      <c r="B285" s="112" t="s">
        <v>398</v>
      </c>
      <c r="C285" s="117">
        <v>0.17</v>
      </c>
      <c r="D285" s="117">
        <v>0.18</v>
      </c>
      <c r="E285" s="116">
        <v>1008.0</v>
      </c>
    </row>
    <row r="286">
      <c r="A286" s="111" t="s">
        <v>3</v>
      </c>
      <c r="B286" s="112" t="s">
        <v>399</v>
      </c>
      <c r="C286" s="117">
        <v>0.17</v>
      </c>
      <c r="D286" s="117">
        <v>0.18</v>
      </c>
      <c r="E286" s="116">
        <v>1193.0</v>
      </c>
    </row>
    <row r="287">
      <c r="A287" s="111" t="s">
        <v>3</v>
      </c>
      <c r="B287" s="112" t="s">
        <v>400</v>
      </c>
      <c r="C287" s="117">
        <v>0.18</v>
      </c>
      <c r="D287" s="117">
        <v>0.18</v>
      </c>
      <c r="E287" s="116">
        <v>1193.0</v>
      </c>
    </row>
    <row r="288">
      <c r="A288" s="111" t="s">
        <v>3</v>
      </c>
      <c r="B288" s="112" t="s">
        <v>401</v>
      </c>
      <c r="C288" s="117">
        <v>0.18</v>
      </c>
      <c r="D288" s="117">
        <v>0.17</v>
      </c>
      <c r="E288" s="116">
        <v>1193.0</v>
      </c>
    </row>
    <row r="289">
      <c r="A289" s="111" t="s">
        <v>3</v>
      </c>
      <c r="B289" s="112" t="s">
        <v>402</v>
      </c>
      <c r="C289" s="117">
        <v>0.18</v>
      </c>
      <c r="D289" s="117">
        <v>0.17</v>
      </c>
      <c r="E289" s="116">
        <v>1193.0</v>
      </c>
    </row>
    <row r="290">
      <c r="A290" s="111" t="s">
        <v>3</v>
      </c>
      <c r="B290" s="112" t="s">
        <v>403</v>
      </c>
      <c r="C290" s="117">
        <v>0.19</v>
      </c>
      <c r="D290" s="117">
        <v>0.17</v>
      </c>
      <c r="E290" s="116">
        <v>1441.0</v>
      </c>
    </row>
    <row r="291">
      <c r="A291" s="111" t="s">
        <v>3</v>
      </c>
      <c r="B291" s="112" t="s">
        <v>404</v>
      </c>
      <c r="C291" s="117">
        <v>0.2</v>
      </c>
      <c r="D291" s="117">
        <v>0.16</v>
      </c>
      <c r="E291" s="116">
        <v>1441.0</v>
      </c>
    </row>
    <row r="292">
      <c r="A292" s="111" t="s">
        <v>3</v>
      </c>
      <c r="B292" s="112" t="s">
        <v>405</v>
      </c>
      <c r="C292" s="117">
        <v>0.2</v>
      </c>
      <c r="D292" s="117">
        <v>0.16</v>
      </c>
      <c r="E292" s="116">
        <v>1441.0</v>
      </c>
    </row>
    <row r="293">
      <c r="A293" s="111" t="s">
        <v>3</v>
      </c>
      <c r="B293" s="112" t="s">
        <v>406</v>
      </c>
      <c r="C293" s="117">
        <v>0.21</v>
      </c>
      <c r="D293" s="117">
        <v>0.16</v>
      </c>
      <c r="E293" s="116">
        <v>1441.0</v>
      </c>
    </row>
    <row r="294">
      <c r="A294" s="111" t="s">
        <v>3</v>
      </c>
      <c r="B294" s="112" t="s">
        <v>407</v>
      </c>
      <c r="C294" s="117">
        <v>0.2</v>
      </c>
      <c r="D294" s="117">
        <v>0.16</v>
      </c>
      <c r="E294" s="116">
        <v>1668.0</v>
      </c>
    </row>
    <row r="295">
      <c r="A295" s="111" t="s">
        <v>3</v>
      </c>
      <c r="B295" s="112" t="s">
        <v>408</v>
      </c>
      <c r="C295" s="117">
        <v>0.18</v>
      </c>
      <c r="D295" s="117">
        <v>0.15</v>
      </c>
      <c r="E295" s="116">
        <v>1668.0</v>
      </c>
    </row>
    <row r="296">
      <c r="A296" s="111" t="s">
        <v>3</v>
      </c>
      <c r="B296" s="112" t="s">
        <v>409</v>
      </c>
      <c r="C296" s="117">
        <v>0.17</v>
      </c>
      <c r="D296" s="117">
        <v>0.14</v>
      </c>
      <c r="E296" s="116">
        <v>1668.0</v>
      </c>
    </row>
    <row r="297">
      <c r="A297" s="111" t="s">
        <v>3</v>
      </c>
      <c r="B297" s="112" t="s">
        <v>410</v>
      </c>
      <c r="C297" s="117">
        <v>0.16</v>
      </c>
      <c r="D297" s="117">
        <v>0.14</v>
      </c>
      <c r="E297" s="116">
        <v>1668.0</v>
      </c>
    </row>
    <row r="298">
      <c r="A298" s="111" t="s">
        <v>3</v>
      </c>
      <c r="B298" s="112" t="s">
        <v>411</v>
      </c>
      <c r="C298" s="117">
        <v>0.15</v>
      </c>
      <c r="D298" s="117">
        <v>0.08</v>
      </c>
      <c r="E298" s="116">
        <v>1904.0</v>
      </c>
    </row>
    <row r="299">
      <c r="A299" s="111" t="s">
        <v>3</v>
      </c>
      <c r="B299" s="112" t="s">
        <v>412</v>
      </c>
      <c r="C299" s="117">
        <v>0.19</v>
      </c>
      <c r="D299" s="117">
        <v>0.04</v>
      </c>
      <c r="E299" s="116">
        <v>2196.0</v>
      </c>
    </row>
    <row r="300">
      <c r="A300" s="111" t="s">
        <v>3</v>
      </c>
      <c r="B300" s="112" t="s">
        <v>413</v>
      </c>
      <c r="C300" s="117">
        <v>0.29</v>
      </c>
      <c r="D300" s="117">
        <v>0.04</v>
      </c>
      <c r="E300" s="116">
        <v>2581.0</v>
      </c>
    </row>
    <row r="301">
      <c r="A301" s="111" t="s">
        <v>3</v>
      </c>
      <c r="B301" s="112" t="s">
        <v>414</v>
      </c>
      <c r="C301" s="117">
        <v>0.31</v>
      </c>
      <c r="D301" s="117">
        <v>0.02</v>
      </c>
      <c r="E301" s="116">
        <v>2093.0</v>
      </c>
    </row>
    <row r="302">
      <c r="A302" s="111" t="s">
        <v>3</v>
      </c>
      <c r="B302" s="112" t="s">
        <v>415</v>
      </c>
      <c r="C302" s="117">
        <v>0.32</v>
      </c>
      <c r="D302" s="117">
        <v>0.03</v>
      </c>
      <c r="E302" s="116">
        <v>2189.0</v>
      </c>
    </row>
    <row r="303">
      <c r="A303" s="111" t="s">
        <v>3</v>
      </c>
      <c r="B303" s="112" t="s">
        <v>416</v>
      </c>
      <c r="C303" s="117">
        <v>0.28</v>
      </c>
      <c r="D303" s="117">
        <v>0.04</v>
      </c>
      <c r="E303" s="116">
        <v>2586.0</v>
      </c>
    </row>
    <row r="304">
      <c r="A304" s="111" t="s">
        <v>3</v>
      </c>
      <c r="B304" s="112" t="s">
        <v>417</v>
      </c>
      <c r="C304" s="117">
        <v>0.18</v>
      </c>
      <c r="D304" s="117">
        <v>0.04</v>
      </c>
      <c r="E304" s="116">
        <v>2966.0</v>
      </c>
    </row>
    <row r="305">
      <c r="A305" s="111" t="s">
        <v>3</v>
      </c>
      <c r="B305" s="112" t="s">
        <v>418</v>
      </c>
      <c r="C305" s="117">
        <v>0.15</v>
      </c>
      <c r="D305" s="117">
        <v>0.03</v>
      </c>
      <c r="E305" s="116">
        <v>2319.0</v>
      </c>
    </row>
    <row r="306">
      <c r="A306" s="111" t="s">
        <v>3</v>
      </c>
      <c r="B306" s="112" t="s">
        <v>419</v>
      </c>
      <c r="C306" s="117">
        <v>0.15</v>
      </c>
      <c r="D306" s="117">
        <v>0.03</v>
      </c>
      <c r="E306" s="116">
        <v>2508.0</v>
      </c>
    </row>
    <row r="307">
      <c r="A307" s="111" t="s">
        <v>3</v>
      </c>
      <c r="B307" s="112" t="s">
        <v>420</v>
      </c>
      <c r="C307" s="117">
        <v>0.13</v>
      </c>
      <c r="D307" s="117">
        <v>0.03</v>
      </c>
      <c r="E307" s="116">
        <v>2880.0</v>
      </c>
    </row>
    <row r="308">
      <c r="A308" s="111" t="s">
        <v>3</v>
      </c>
      <c r="B308" s="112" t="s">
        <v>421</v>
      </c>
      <c r="C308" s="117">
        <v>0.12</v>
      </c>
      <c r="D308" s="117">
        <v>0.04</v>
      </c>
      <c r="E308" s="116">
        <v>3276.0</v>
      </c>
    </row>
    <row r="309">
      <c r="A309" s="111" t="s">
        <v>3</v>
      </c>
      <c r="B309" s="112" t="s">
        <v>422</v>
      </c>
      <c r="C309" s="117">
        <v>0.12</v>
      </c>
      <c r="D309" s="117">
        <v>0.03</v>
      </c>
      <c r="E309" s="116">
        <v>2559.0</v>
      </c>
    </row>
    <row r="310">
      <c r="A310" s="111" t="s">
        <v>3</v>
      </c>
      <c r="B310" s="112" t="s">
        <v>423</v>
      </c>
      <c r="C310" s="117">
        <v>0.09</v>
      </c>
      <c r="D310" s="117">
        <v>0.04</v>
      </c>
      <c r="E310" s="116">
        <v>2609.0</v>
      </c>
    </row>
    <row r="311">
      <c r="A311" s="111" t="s">
        <v>3</v>
      </c>
      <c r="B311" s="112" t="s">
        <v>424</v>
      </c>
      <c r="C311" s="117">
        <v>0.09</v>
      </c>
      <c r="D311" s="117">
        <v>0.06</v>
      </c>
      <c r="E311" s="116">
        <v>3153.0</v>
      </c>
    </row>
    <row r="312">
      <c r="A312" s="111" t="s">
        <v>3</v>
      </c>
      <c r="B312" s="112" t="s">
        <v>425</v>
      </c>
      <c r="C312" s="117">
        <v>0.08</v>
      </c>
      <c r="D312" s="117">
        <v>0.05</v>
      </c>
      <c r="E312" s="116">
        <v>3558.0</v>
      </c>
    </row>
    <row r="313">
      <c r="A313" s="111" t="s">
        <v>3</v>
      </c>
      <c r="B313" s="112" t="s">
        <v>426</v>
      </c>
      <c r="C313" s="117">
        <v>0.07</v>
      </c>
      <c r="D313" s="117">
        <v>0.06</v>
      </c>
      <c r="E313" s="116">
        <v>2747.0</v>
      </c>
    </row>
    <row r="314">
      <c r="A314" s="111" t="s">
        <v>3</v>
      </c>
      <c r="B314" s="112" t="s">
        <v>427</v>
      </c>
      <c r="C314" s="117">
        <v>0.03</v>
      </c>
      <c r="D314" s="117">
        <v>-0.1</v>
      </c>
      <c r="E314" s="116">
        <v>2209.0</v>
      </c>
    </row>
    <row r="315">
      <c r="A315" s="111" t="s">
        <v>3</v>
      </c>
      <c r="B315" s="112" t="s">
        <v>428</v>
      </c>
      <c r="C315" s="117">
        <v>-0.2</v>
      </c>
      <c r="D315" s="117">
        <v>-0.5</v>
      </c>
      <c r="E315" s="116">
        <v>566.0</v>
      </c>
    </row>
    <row r="316">
      <c r="A316" s="111" t="s">
        <v>3</v>
      </c>
      <c r="B316" s="112" t="s">
        <v>429</v>
      </c>
      <c r="C316" s="117">
        <v>-0.3</v>
      </c>
      <c r="D316" s="117">
        <v>-0.5</v>
      </c>
      <c r="E316" s="116">
        <v>1504.0</v>
      </c>
    </row>
    <row r="317">
      <c r="A317" s="111" t="s">
        <v>3</v>
      </c>
      <c r="B317" s="112" t="s">
        <v>430</v>
      </c>
      <c r="C317" s="117">
        <v>-0.3</v>
      </c>
      <c r="D317" s="117">
        <v>-0.5</v>
      </c>
      <c r="E317" s="116">
        <v>920.0</v>
      </c>
    </row>
    <row r="318">
      <c r="A318" s="111" t="s">
        <v>3</v>
      </c>
      <c r="B318" s="112" t="s">
        <v>431</v>
      </c>
      <c r="C318" s="117">
        <v>-0.3</v>
      </c>
      <c r="D318" s="117">
        <v>-0.5</v>
      </c>
      <c r="E318" s="116">
        <v>1246.0</v>
      </c>
    </row>
    <row r="319">
      <c r="A319" s="111" t="s">
        <v>3</v>
      </c>
      <c r="B319" s="112" t="s">
        <v>432</v>
      </c>
      <c r="C319" s="117">
        <v>0.26</v>
      </c>
      <c r="D319" s="117">
        <v>-0.35</v>
      </c>
      <c r="E319" s="116">
        <v>2111.0</v>
      </c>
    </row>
    <row r="320">
      <c r="A320" s="111" t="s">
        <v>3</v>
      </c>
      <c r="B320" s="112" t="s">
        <v>433</v>
      </c>
      <c r="C320" s="117">
        <v>0.65</v>
      </c>
      <c r="D320" s="117">
        <v>-0.27</v>
      </c>
      <c r="E320" s="116">
        <v>2962.0</v>
      </c>
    </row>
    <row r="321">
      <c r="A321" s="111" t="s">
        <v>3</v>
      </c>
      <c r="B321" s="112" t="s">
        <v>434</v>
      </c>
      <c r="C321" s="117">
        <v>1.0</v>
      </c>
      <c r="D321" s="117">
        <v>-0.09</v>
      </c>
      <c r="E321" s="116">
        <v>2279.0</v>
      </c>
    </row>
    <row r="322">
      <c r="A322" s="111" t="s">
        <v>3</v>
      </c>
      <c r="B322" s="112" t="s">
        <v>435</v>
      </c>
      <c r="C322" s="117">
        <v>1.0</v>
      </c>
      <c r="D322" s="117">
        <v>0.04</v>
      </c>
      <c r="E322" s="116">
        <v>2249.0</v>
      </c>
    </row>
    <row r="323">
      <c r="A323" s="111" t="s">
        <v>3</v>
      </c>
      <c r="B323" s="112" t="s">
        <v>436</v>
      </c>
      <c r="C323" s="117">
        <v>0.94</v>
      </c>
      <c r="D323" s="117">
        <v>0.06</v>
      </c>
      <c r="E323" s="116">
        <v>3181.0</v>
      </c>
    </row>
    <row r="324">
      <c r="A324" s="111" t="s">
        <v>3</v>
      </c>
      <c r="B324" s="112" t="s">
        <v>437</v>
      </c>
      <c r="C324" s="117">
        <v>0.75</v>
      </c>
      <c r="D324" s="117">
        <v>0.07</v>
      </c>
      <c r="E324" s="116">
        <v>3619.0</v>
      </c>
    </row>
    <row r="325">
      <c r="A325" s="111" t="s">
        <v>3</v>
      </c>
      <c r="B325" s="112" t="s">
        <v>438</v>
      </c>
      <c r="C325" s="117">
        <v>0.42</v>
      </c>
      <c r="D325" s="117">
        <v>0.03</v>
      </c>
      <c r="E325" s="116">
        <v>2618.0</v>
      </c>
    </row>
    <row r="326">
      <c r="A326" s="111" t="s">
        <v>3</v>
      </c>
      <c r="B326" s="112" t="s">
        <v>439</v>
      </c>
      <c r="C326" s="117">
        <v>0.27</v>
      </c>
      <c r="D326" s="117">
        <v>0.05</v>
      </c>
      <c r="E326" s="116">
        <v>2665.0</v>
      </c>
    </row>
    <row r="327">
      <c r="A327" s="111" t="s">
        <v>3</v>
      </c>
      <c r="B327" s="112" t="s">
        <v>440</v>
      </c>
      <c r="C327" s="117">
        <v>0.15</v>
      </c>
      <c r="D327" s="117">
        <v>0.09</v>
      </c>
      <c r="E327" s="116">
        <v>3358.0</v>
      </c>
    </row>
    <row r="328">
      <c r="A328" s="111" t="s">
        <v>3</v>
      </c>
      <c r="B328" s="112" t="s">
        <v>441</v>
      </c>
      <c r="C328" s="117">
        <v>0.12</v>
      </c>
      <c r="D328" s="117">
        <v>0.07</v>
      </c>
      <c r="E328" s="116">
        <v>3929.0</v>
      </c>
    </row>
    <row r="329">
      <c r="A329" s="111" t="s">
        <v>3</v>
      </c>
      <c r="B329" s="112" t="s">
        <v>442</v>
      </c>
      <c r="C329" s="117">
        <v>0.11</v>
      </c>
      <c r="D329" s="117">
        <v>0.07</v>
      </c>
      <c r="E329" s="116">
        <v>2887.0</v>
      </c>
    </row>
    <row r="330">
      <c r="A330" s="111" t="s">
        <v>3</v>
      </c>
      <c r="B330" s="112" t="s">
        <v>443</v>
      </c>
      <c r="C330" s="117">
        <v>0.08</v>
      </c>
      <c r="D330" s="117">
        <v>0.06</v>
      </c>
      <c r="E330" s="116">
        <v>2889.0</v>
      </c>
    </row>
    <row r="331">
      <c r="A331" s="111" t="s">
        <v>3</v>
      </c>
      <c r="B331" s="112" t="s">
        <v>444</v>
      </c>
      <c r="C331" s="117">
        <v>0.08</v>
      </c>
      <c r="D331" s="117">
        <v>0.06</v>
      </c>
      <c r="E331" s="116">
        <v>3558.0</v>
      </c>
    </row>
    <row r="332">
      <c r="A332" s="111" t="s">
        <v>4</v>
      </c>
      <c r="B332" s="111" t="s">
        <v>335</v>
      </c>
      <c r="C332" s="113"/>
      <c r="D332" s="113"/>
    </row>
    <row r="333">
      <c r="A333" s="111" t="s">
        <v>4</v>
      </c>
      <c r="B333" s="111" t="s">
        <v>336</v>
      </c>
      <c r="C333" s="113"/>
      <c r="D333" s="113"/>
    </row>
    <row r="334">
      <c r="A334" s="111" t="s">
        <v>4</v>
      </c>
      <c r="B334" s="111" t="s">
        <v>337</v>
      </c>
      <c r="C334" s="113"/>
      <c r="D334" s="113"/>
    </row>
    <row r="335">
      <c r="A335" s="111" t="s">
        <v>4</v>
      </c>
      <c r="B335" s="111" t="s">
        <v>338</v>
      </c>
      <c r="C335" s="113"/>
      <c r="D335" s="113"/>
    </row>
    <row r="336">
      <c r="A336" s="111" t="s">
        <v>4</v>
      </c>
      <c r="B336" s="111" t="s">
        <v>339</v>
      </c>
      <c r="C336" s="113"/>
      <c r="D336" s="113"/>
    </row>
    <row r="337">
      <c r="A337" s="111" t="s">
        <v>4</v>
      </c>
      <c r="B337" s="111" t="s">
        <v>340</v>
      </c>
      <c r="C337" s="113"/>
      <c r="D337" s="113"/>
    </row>
    <row r="338">
      <c r="A338" s="111" t="s">
        <v>4</v>
      </c>
      <c r="B338" s="111" t="s">
        <v>341</v>
      </c>
      <c r="C338" s="113"/>
      <c r="D338" s="113"/>
    </row>
    <row r="339">
      <c r="A339" s="111" t="s">
        <v>4</v>
      </c>
      <c r="B339" s="111" t="s">
        <v>342</v>
      </c>
      <c r="C339" s="113"/>
      <c r="D339" s="113"/>
    </row>
    <row r="340">
      <c r="A340" s="111" t="s">
        <v>4</v>
      </c>
      <c r="B340" s="111" t="s">
        <v>343</v>
      </c>
      <c r="C340" s="113"/>
      <c r="D340" s="113"/>
    </row>
    <row r="341">
      <c r="A341" s="111" t="s">
        <v>4</v>
      </c>
      <c r="B341" s="111" t="s">
        <v>344</v>
      </c>
      <c r="C341" s="113"/>
      <c r="D341" s="113"/>
    </row>
    <row r="342">
      <c r="A342" s="111" t="s">
        <v>4</v>
      </c>
      <c r="B342" s="111" t="s">
        <v>345</v>
      </c>
      <c r="C342" s="113"/>
      <c r="D342" s="113"/>
    </row>
    <row r="343">
      <c r="A343" s="111" t="s">
        <v>4</v>
      </c>
      <c r="B343" s="111" t="s">
        <v>346</v>
      </c>
      <c r="C343" s="113"/>
      <c r="D343" s="113"/>
    </row>
    <row r="344">
      <c r="A344" s="111" t="s">
        <v>4</v>
      </c>
      <c r="B344" s="111" t="s">
        <v>347</v>
      </c>
      <c r="C344" s="113"/>
      <c r="D344" s="113"/>
      <c r="E344" s="118"/>
    </row>
    <row r="345">
      <c r="A345" s="111" t="s">
        <v>4</v>
      </c>
      <c r="B345" s="111" t="s">
        <v>348</v>
      </c>
      <c r="C345" s="113"/>
      <c r="D345" s="113"/>
      <c r="E345" s="118"/>
    </row>
    <row r="346">
      <c r="A346" s="111" t="s">
        <v>4</v>
      </c>
      <c r="B346" s="111" t="s">
        <v>349</v>
      </c>
      <c r="C346" s="113"/>
      <c r="D346" s="113"/>
      <c r="E346" s="118"/>
    </row>
    <row r="347">
      <c r="A347" s="111" t="s">
        <v>4</v>
      </c>
      <c r="B347" s="111" t="s">
        <v>350</v>
      </c>
      <c r="C347" s="113"/>
      <c r="D347" s="117"/>
      <c r="E347" s="118"/>
    </row>
    <row r="348">
      <c r="A348" s="111" t="s">
        <v>4</v>
      </c>
      <c r="B348" s="111" t="s">
        <v>351</v>
      </c>
      <c r="C348" s="113"/>
      <c r="D348" s="117"/>
      <c r="E348" s="107"/>
    </row>
    <row r="349">
      <c r="A349" s="111" t="s">
        <v>4</v>
      </c>
      <c r="B349" s="111" t="s">
        <v>352</v>
      </c>
      <c r="C349" s="113"/>
      <c r="D349" s="117"/>
      <c r="E349" s="107"/>
    </row>
    <row r="350">
      <c r="A350" s="111" t="s">
        <v>4</v>
      </c>
      <c r="B350" s="111" t="s">
        <v>353</v>
      </c>
      <c r="C350" s="113"/>
      <c r="D350" s="117"/>
      <c r="E350" s="107"/>
    </row>
    <row r="351">
      <c r="A351" s="111" t="s">
        <v>4</v>
      </c>
      <c r="B351" s="111" t="s">
        <v>354</v>
      </c>
      <c r="C351" s="117">
        <v>1.0</v>
      </c>
      <c r="D351" s="117">
        <v>-0.37</v>
      </c>
      <c r="E351" s="107">
        <v>1.0</v>
      </c>
    </row>
    <row r="352">
      <c r="A352" s="111" t="s">
        <v>4</v>
      </c>
      <c r="B352" s="111" t="s">
        <v>355</v>
      </c>
      <c r="C352" s="117">
        <v>1.0</v>
      </c>
      <c r="D352" s="117">
        <v>-0.21</v>
      </c>
      <c r="E352" s="107">
        <v>3.0</v>
      </c>
    </row>
    <row r="353">
      <c r="A353" s="111" t="s">
        <v>4</v>
      </c>
      <c r="B353" s="111" t="s">
        <v>356</v>
      </c>
      <c r="C353" s="117">
        <v>1.0</v>
      </c>
      <c r="D353" s="117">
        <v>-0.05</v>
      </c>
      <c r="E353" s="107">
        <v>3.0</v>
      </c>
    </row>
    <row r="354">
      <c r="A354" s="111" t="s">
        <v>4</v>
      </c>
      <c r="B354" s="111" t="s">
        <v>357</v>
      </c>
      <c r="C354" s="117">
        <v>1.0</v>
      </c>
      <c r="D354" s="117">
        <v>0.11</v>
      </c>
      <c r="E354" s="107">
        <v>3.0</v>
      </c>
    </row>
    <row r="355">
      <c r="A355" s="111" t="s">
        <v>4</v>
      </c>
      <c r="B355" s="111" t="s">
        <v>358</v>
      </c>
      <c r="C355" s="117">
        <v>1.0</v>
      </c>
      <c r="D355" s="117">
        <v>0.27</v>
      </c>
      <c r="E355" s="107">
        <v>3.0</v>
      </c>
    </row>
    <row r="356">
      <c r="A356" s="111" t="s">
        <v>4</v>
      </c>
      <c r="B356" s="111" t="s">
        <v>359</v>
      </c>
      <c r="C356" s="117">
        <v>1.0</v>
      </c>
      <c r="D356" s="117">
        <v>0.29</v>
      </c>
      <c r="E356" s="107">
        <v>5.0</v>
      </c>
    </row>
    <row r="357">
      <c r="A357" s="111" t="s">
        <v>4</v>
      </c>
      <c r="B357" s="111" t="s">
        <v>360</v>
      </c>
      <c r="C357" s="117">
        <v>1.0</v>
      </c>
      <c r="D357" s="117">
        <v>0.32</v>
      </c>
      <c r="E357" s="107">
        <v>5.0</v>
      </c>
    </row>
    <row r="358">
      <c r="A358" s="111" t="s">
        <v>4</v>
      </c>
      <c r="B358" s="111" t="s">
        <v>361</v>
      </c>
      <c r="C358" s="117">
        <v>0.9</v>
      </c>
      <c r="D358" s="117">
        <v>0.34</v>
      </c>
      <c r="E358" s="107">
        <v>5.0</v>
      </c>
    </row>
    <row r="359">
      <c r="A359" s="111" t="s">
        <v>4</v>
      </c>
      <c r="B359" s="111" t="s">
        <v>362</v>
      </c>
      <c r="C359" s="117">
        <v>0.76</v>
      </c>
      <c r="D359" s="117">
        <v>0.36</v>
      </c>
      <c r="E359" s="107">
        <v>5.0</v>
      </c>
    </row>
    <row r="360">
      <c r="A360" s="111" t="s">
        <v>4</v>
      </c>
      <c r="B360" s="111" t="s">
        <v>363</v>
      </c>
      <c r="C360" s="117">
        <v>0.8</v>
      </c>
      <c r="D360" s="117">
        <v>0.37</v>
      </c>
      <c r="E360" s="107">
        <v>10.0</v>
      </c>
    </row>
    <row r="361">
      <c r="A361" s="111" t="s">
        <v>4</v>
      </c>
      <c r="B361" s="111" t="s">
        <v>364</v>
      </c>
      <c r="C361" s="117">
        <v>0.83</v>
      </c>
      <c r="D361" s="117">
        <v>0.39</v>
      </c>
      <c r="E361" s="107">
        <v>10.0</v>
      </c>
    </row>
    <row r="362">
      <c r="A362" s="111" t="s">
        <v>4</v>
      </c>
      <c r="B362" s="111" t="s">
        <v>365</v>
      </c>
      <c r="C362" s="117">
        <v>0.86</v>
      </c>
      <c r="D362" s="117">
        <v>0.4</v>
      </c>
      <c r="E362" s="107">
        <v>10.0</v>
      </c>
    </row>
    <row r="363">
      <c r="A363" s="111" t="s">
        <v>4</v>
      </c>
      <c r="B363" s="111" t="s">
        <v>366</v>
      </c>
      <c r="C363" s="117">
        <v>0.9</v>
      </c>
      <c r="D363" s="117">
        <v>0.42</v>
      </c>
      <c r="E363" s="107">
        <v>10.0</v>
      </c>
    </row>
    <row r="364">
      <c r="A364" s="111" t="s">
        <v>4</v>
      </c>
      <c r="B364" s="111" t="s">
        <v>367</v>
      </c>
      <c r="C364" s="117">
        <v>0.84</v>
      </c>
      <c r="D364" s="117">
        <v>0.43</v>
      </c>
      <c r="E364" s="107">
        <v>17.0</v>
      </c>
    </row>
    <row r="365">
      <c r="A365" s="111" t="s">
        <v>4</v>
      </c>
      <c r="B365" s="111" t="s">
        <v>368</v>
      </c>
      <c r="C365" s="117">
        <v>0.77</v>
      </c>
      <c r="D365" s="117">
        <v>0.44</v>
      </c>
      <c r="E365" s="107">
        <v>17.0</v>
      </c>
    </row>
    <row r="366">
      <c r="A366" s="111" t="s">
        <v>4</v>
      </c>
      <c r="B366" s="111" t="s">
        <v>369</v>
      </c>
      <c r="C366" s="117">
        <v>0.71</v>
      </c>
      <c r="D366" s="117">
        <v>0.45</v>
      </c>
      <c r="E366" s="107">
        <v>17.0</v>
      </c>
    </row>
    <row r="367">
      <c r="A367" s="111" t="s">
        <v>4</v>
      </c>
      <c r="B367" s="111" t="s">
        <v>370</v>
      </c>
      <c r="C367" s="117">
        <v>0.65</v>
      </c>
      <c r="D367" s="117">
        <v>0.46</v>
      </c>
      <c r="E367" s="107">
        <v>17.0</v>
      </c>
    </row>
    <row r="368">
      <c r="A368" s="111" t="s">
        <v>4</v>
      </c>
      <c r="B368" s="111" t="s">
        <v>371</v>
      </c>
      <c r="C368" s="117">
        <v>0.61</v>
      </c>
      <c r="D368" s="117">
        <v>0.43</v>
      </c>
      <c r="E368" s="107">
        <v>25.0</v>
      </c>
    </row>
    <row r="369">
      <c r="A369" s="111" t="s">
        <v>4</v>
      </c>
      <c r="B369" s="111" t="s">
        <v>372</v>
      </c>
      <c r="C369" s="117">
        <v>0.58</v>
      </c>
      <c r="D369" s="117">
        <v>0.41</v>
      </c>
      <c r="E369" s="107">
        <v>25.0</v>
      </c>
    </row>
    <row r="370">
      <c r="A370" s="111" t="s">
        <v>4</v>
      </c>
      <c r="B370" s="111" t="s">
        <v>373</v>
      </c>
      <c r="C370" s="117">
        <v>0.54</v>
      </c>
      <c r="D370" s="117">
        <v>0.38</v>
      </c>
      <c r="E370" s="107">
        <v>25.0</v>
      </c>
    </row>
    <row r="371">
      <c r="A371" s="111" t="s">
        <v>4</v>
      </c>
      <c r="B371" s="111" t="s">
        <v>374</v>
      </c>
      <c r="C371" s="117">
        <v>0.5</v>
      </c>
      <c r="D371" s="117">
        <v>0.35</v>
      </c>
      <c r="E371" s="107">
        <v>25.0</v>
      </c>
    </row>
    <row r="372">
      <c r="A372" s="111" t="s">
        <v>4</v>
      </c>
      <c r="B372" s="111" t="s">
        <v>375</v>
      </c>
      <c r="C372" s="117">
        <v>0.54</v>
      </c>
      <c r="D372" s="117">
        <v>0.36</v>
      </c>
      <c r="E372" s="107">
        <v>42.0</v>
      </c>
    </row>
    <row r="373">
      <c r="A373" s="111" t="s">
        <v>4</v>
      </c>
      <c r="B373" s="111" t="s">
        <v>376</v>
      </c>
      <c r="C373" s="117">
        <v>0.59</v>
      </c>
      <c r="D373" s="117">
        <v>0.37</v>
      </c>
      <c r="E373" s="107">
        <v>42.0</v>
      </c>
    </row>
    <row r="374">
      <c r="A374" s="111" t="s">
        <v>4</v>
      </c>
      <c r="B374" s="111" t="s">
        <v>377</v>
      </c>
      <c r="C374" s="117">
        <v>0.63</v>
      </c>
      <c r="D374" s="117">
        <v>0.37</v>
      </c>
      <c r="E374" s="107">
        <v>42.0</v>
      </c>
    </row>
    <row r="375">
      <c r="A375" s="111" t="s">
        <v>4</v>
      </c>
      <c r="B375" s="111" t="s">
        <v>378</v>
      </c>
      <c r="C375" s="117">
        <v>0.67</v>
      </c>
      <c r="D375" s="117">
        <v>0.38</v>
      </c>
      <c r="E375" s="107">
        <v>42.0</v>
      </c>
    </row>
    <row r="376">
      <c r="A376" s="111" t="s">
        <v>4</v>
      </c>
      <c r="B376" s="111" t="s">
        <v>379</v>
      </c>
      <c r="C376" s="117">
        <v>0.58</v>
      </c>
      <c r="D376" s="117">
        <v>0.37</v>
      </c>
      <c r="E376" s="107">
        <v>56.0</v>
      </c>
    </row>
    <row r="377">
      <c r="A377" s="111" t="s">
        <v>4</v>
      </c>
      <c r="B377" s="111" t="s">
        <v>380</v>
      </c>
      <c r="C377" s="117">
        <v>0.5</v>
      </c>
      <c r="D377" s="117">
        <v>0.37</v>
      </c>
      <c r="E377" s="107">
        <v>56.0</v>
      </c>
    </row>
    <row r="378">
      <c r="A378" s="111" t="s">
        <v>4</v>
      </c>
      <c r="B378" s="111" t="s">
        <v>381</v>
      </c>
      <c r="C378" s="117">
        <v>0.42</v>
      </c>
      <c r="D378" s="117">
        <v>0.36</v>
      </c>
      <c r="E378" s="107">
        <v>56.0</v>
      </c>
    </row>
    <row r="379">
      <c r="A379" s="111" t="s">
        <v>4</v>
      </c>
      <c r="B379" s="111" t="s">
        <v>382</v>
      </c>
      <c r="C379" s="117">
        <v>0.33</v>
      </c>
      <c r="D379" s="117">
        <v>0.36</v>
      </c>
      <c r="E379" s="107">
        <v>56.0</v>
      </c>
    </row>
    <row r="380">
      <c r="A380" s="111" t="s">
        <v>4</v>
      </c>
      <c r="B380" s="111" t="s">
        <v>383</v>
      </c>
      <c r="C380" s="117">
        <v>0.33</v>
      </c>
      <c r="D380" s="117">
        <v>0.37</v>
      </c>
      <c r="E380" s="107">
        <v>75.0</v>
      </c>
    </row>
    <row r="381">
      <c r="A381" s="111" t="s">
        <v>4</v>
      </c>
      <c r="B381" s="111" t="s">
        <v>384</v>
      </c>
      <c r="C381" s="117">
        <v>0.33</v>
      </c>
      <c r="D381" s="117">
        <v>0.38</v>
      </c>
      <c r="E381" s="107">
        <v>75.0</v>
      </c>
    </row>
    <row r="382">
      <c r="A382" s="111" t="s">
        <v>4</v>
      </c>
      <c r="B382" s="111" t="s">
        <v>385</v>
      </c>
      <c r="C382" s="117">
        <v>0.33</v>
      </c>
      <c r="D382" s="117">
        <v>0.38</v>
      </c>
      <c r="E382" s="107">
        <v>75.0</v>
      </c>
    </row>
    <row r="383">
      <c r="A383" s="111" t="s">
        <v>4</v>
      </c>
      <c r="B383" s="111" t="s">
        <v>386</v>
      </c>
      <c r="C383" s="117">
        <v>0.33</v>
      </c>
      <c r="D383" s="117">
        <v>0.39</v>
      </c>
      <c r="E383" s="107">
        <v>75.0</v>
      </c>
    </row>
    <row r="384">
      <c r="A384" s="111" t="s">
        <v>4</v>
      </c>
      <c r="B384" s="111" t="s">
        <v>387</v>
      </c>
      <c r="C384" s="117">
        <v>0.38</v>
      </c>
      <c r="D384" s="117">
        <v>0.4</v>
      </c>
      <c r="E384" s="107">
        <v>113.0</v>
      </c>
    </row>
    <row r="385">
      <c r="A385" s="111" t="s">
        <v>4</v>
      </c>
      <c r="B385" s="111" t="s">
        <v>388</v>
      </c>
      <c r="C385" s="117">
        <v>0.42</v>
      </c>
      <c r="D385" s="117">
        <v>0.4</v>
      </c>
      <c r="E385" s="107">
        <v>113.0</v>
      </c>
    </row>
    <row r="386">
      <c r="A386" s="111" t="s">
        <v>4</v>
      </c>
      <c r="B386" s="111" t="s">
        <v>389</v>
      </c>
      <c r="C386" s="117">
        <v>0.46</v>
      </c>
      <c r="D386" s="117">
        <v>0.41</v>
      </c>
      <c r="E386" s="107">
        <v>113.0</v>
      </c>
    </row>
    <row r="387">
      <c r="A387" s="111" t="s">
        <v>4</v>
      </c>
      <c r="B387" s="111" t="s">
        <v>390</v>
      </c>
      <c r="C387" s="117">
        <v>0.5</v>
      </c>
      <c r="D387" s="117">
        <v>0.41</v>
      </c>
      <c r="E387" s="107">
        <v>113.0</v>
      </c>
    </row>
    <row r="388">
      <c r="A388" s="111" t="s">
        <v>4</v>
      </c>
      <c r="B388" s="111" t="s">
        <v>391</v>
      </c>
      <c r="C388" s="117">
        <v>0.44</v>
      </c>
      <c r="D388" s="117">
        <v>0.4</v>
      </c>
      <c r="E388" s="107">
        <v>143.0</v>
      </c>
    </row>
    <row r="389">
      <c r="A389" s="111" t="s">
        <v>4</v>
      </c>
      <c r="B389" s="111" t="s">
        <v>392</v>
      </c>
      <c r="C389" s="117">
        <v>0.39</v>
      </c>
      <c r="D389" s="117">
        <v>0.38</v>
      </c>
      <c r="E389" s="107">
        <v>143.0</v>
      </c>
    </row>
    <row r="390">
      <c r="A390" s="111" t="s">
        <v>4</v>
      </c>
      <c r="B390" s="111" t="s">
        <v>393</v>
      </c>
      <c r="C390" s="117">
        <v>0.33</v>
      </c>
      <c r="D390" s="117">
        <v>0.37</v>
      </c>
      <c r="E390" s="107">
        <v>143.0</v>
      </c>
    </row>
    <row r="391">
      <c r="A391" s="111" t="s">
        <v>4</v>
      </c>
      <c r="B391" s="111" t="s">
        <v>394</v>
      </c>
      <c r="C391" s="117">
        <v>0.28</v>
      </c>
      <c r="D391" s="117">
        <v>0.35</v>
      </c>
      <c r="E391" s="107">
        <v>143.0</v>
      </c>
    </row>
    <row r="392">
      <c r="A392" s="111" t="s">
        <v>4</v>
      </c>
      <c r="B392" s="111" t="s">
        <v>395</v>
      </c>
      <c r="C392" s="117">
        <v>0.25</v>
      </c>
      <c r="D392" s="117">
        <v>0.32</v>
      </c>
      <c r="E392" s="107">
        <v>170.0</v>
      </c>
    </row>
    <row r="393">
      <c r="A393" s="111" t="s">
        <v>4</v>
      </c>
      <c r="B393" s="111" t="s">
        <v>396</v>
      </c>
      <c r="C393" s="117">
        <v>0.23</v>
      </c>
      <c r="D393" s="117">
        <v>0.28</v>
      </c>
      <c r="E393" s="107">
        <v>170.0</v>
      </c>
    </row>
    <row r="394">
      <c r="A394" s="111" t="s">
        <v>4</v>
      </c>
      <c r="B394" s="111" t="s">
        <v>397</v>
      </c>
      <c r="C394" s="117">
        <v>0.21</v>
      </c>
      <c r="D394" s="117">
        <v>0.24</v>
      </c>
      <c r="E394" s="107">
        <v>170.0</v>
      </c>
    </row>
    <row r="395">
      <c r="A395" s="111" t="s">
        <v>4</v>
      </c>
      <c r="B395" s="111" t="s">
        <v>398</v>
      </c>
      <c r="C395" s="117">
        <v>0.19</v>
      </c>
      <c r="D395" s="117">
        <v>0.21</v>
      </c>
      <c r="E395" s="107">
        <v>170.0</v>
      </c>
    </row>
    <row r="396">
      <c r="A396" s="111" t="s">
        <v>4</v>
      </c>
      <c r="B396" s="111" t="s">
        <v>399</v>
      </c>
      <c r="C396" s="117">
        <v>0.22</v>
      </c>
      <c r="D396" s="117">
        <v>0.21</v>
      </c>
      <c r="E396" s="107">
        <v>227.0</v>
      </c>
    </row>
    <row r="397">
      <c r="A397" s="111" t="s">
        <v>4</v>
      </c>
      <c r="B397" s="111" t="s">
        <v>400</v>
      </c>
      <c r="C397" s="117">
        <v>0.26</v>
      </c>
      <c r="D397" s="117">
        <v>0.2</v>
      </c>
      <c r="E397" s="107">
        <v>227.0</v>
      </c>
    </row>
    <row r="398">
      <c r="A398" s="111" t="s">
        <v>4</v>
      </c>
      <c r="B398" s="111" t="s">
        <v>401</v>
      </c>
      <c r="C398" s="117">
        <v>0.3</v>
      </c>
      <c r="D398" s="117">
        <v>0.2</v>
      </c>
      <c r="E398" s="107">
        <v>227.0</v>
      </c>
    </row>
    <row r="399">
      <c r="A399" s="111" t="s">
        <v>4</v>
      </c>
      <c r="B399" s="111" t="s">
        <v>402</v>
      </c>
      <c r="C399" s="117">
        <v>0.33</v>
      </c>
      <c r="D399" s="117">
        <v>0.2</v>
      </c>
      <c r="E399" s="107">
        <v>227.0</v>
      </c>
    </row>
    <row r="400">
      <c r="A400" s="111" t="s">
        <v>4</v>
      </c>
      <c r="B400" s="111" t="s">
        <v>403</v>
      </c>
      <c r="C400" s="117">
        <v>0.33</v>
      </c>
      <c r="D400" s="117">
        <v>0.15</v>
      </c>
      <c r="E400" s="107">
        <v>300.0</v>
      </c>
    </row>
    <row r="401">
      <c r="A401" s="111" t="s">
        <v>4</v>
      </c>
      <c r="B401" s="111" t="s">
        <v>404</v>
      </c>
      <c r="C401" s="117">
        <v>0.33</v>
      </c>
      <c r="D401" s="117">
        <v>0.1</v>
      </c>
      <c r="E401" s="107">
        <v>300.0</v>
      </c>
    </row>
    <row r="402">
      <c r="A402" s="111" t="s">
        <v>4</v>
      </c>
      <c r="B402" s="111" t="s">
        <v>405</v>
      </c>
      <c r="C402" s="117">
        <v>0.32</v>
      </c>
      <c r="D402" s="117">
        <v>0.05</v>
      </c>
      <c r="E402" s="107">
        <v>300.0</v>
      </c>
    </row>
    <row r="403">
      <c r="A403" s="111" t="s">
        <v>4</v>
      </c>
      <c r="B403" s="111" t="s">
        <v>406</v>
      </c>
      <c r="C403" s="117">
        <v>0.32</v>
      </c>
      <c r="D403" s="117">
        <v>0.0</v>
      </c>
      <c r="E403" s="107">
        <v>300.0</v>
      </c>
    </row>
    <row r="404">
      <c r="A404" s="111" t="s">
        <v>4</v>
      </c>
      <c r="B404" s="111" t="s">
        <v>407</v>
      </c>
      <c r="C404" s="117">
        <v>0.34</v>
      </c>
      <c r="D404" s="117">
        <v>0.02</v>
      </c>
      <c r="E404" s="107">
        <v>420.0</v>
      </c>
    </row>
    <row r="405">
      <c r="A405" s="111" t="s">
        <v>4</v>
      </c>
      <c r="B405" s="111" t="s">
        <v>408</v>
      </c>
      <c r="C405" s="117">
        <v>0.36</v>
      </c>
      <c r="D405" s="117">
        <v>0.03</v>
      </c>
      <c r="E405" s="107">
        <v>420.0</v>
      </c>
    </row>
    <row r="406">
      <c r="A406" s="111" t="s">
        <v>4</v>
      </c>
      <c r="B406" s="111" t="s">
        <v>409</v>
      </c>
      <c r="C406" s="117">
        <v>0.38</v>
      </c>
      <c r="D406" s="117">
        <v>0.05</v>
      </c>
      <c r="E406" s="107">
        <v>420.0</v>
      </c>
    </row>
    <row r="407">
      <c r="A407" s="111" t="s">
        <v>4</v>
      </c>
      <c r="B407" s="111" t="s">
        <v>410</v>
      </c>
      <c r="C407" s="117">
        <v>0.4</v>
      </c>
      <c r="D407" s="117">
        <v>0.06</v>
      </c>
      <c r="E407" s="107">
        <v>420.0</v>
      </c>
    </row>
    <row r="408">
      <c r="A408" s="111" t="s">
        <v>4</v>
      </c>
      <c r="B408" s="111" t="s">
        <v>411</v>
      </c>
      <c r="C408" s="117">
        <v>0.45</v>
      </c>
      <c r="D408" s="117">
        <v>-0.04</v>
      </c>
      <c r="E408" s="107">
        <v>682.0</v>
      </c>
    </row>
    <row r="409">
      <c r="A409" s="111" t="s">
        <v>4</v>
      </c>
      <c r="B409" s="111" t="s">
        <v>412</v>
      </c>
      <c r="C409" s="117">
        <v>0.51</v>
      </c>
      <c r="D409" s="117">
        <v>-0.08</v>
      </c>
      <c r="E409" s="107">
        <v>684.0</v>
      </c>
    </row>
    <row r="410">
      <c r="A410" s="111" t="s">
        <v>4</v>
      </c>
      <c r="B410" s="111" t="s">
        <v>413</v>
      </c>
      <c r="C410" s="117">
        <v>0.67</v>
      </c>
      <c r="D410" s="117">
        <v>-0.08</v>
      </c>
      <c r="E410" s="107">
        <v>850.0</v>
      </c>
    </row>
    <row r="411">
      <c r="A411" s="111" t="s">
        <v>4</v>
      </c>
      <c r="B411" s="111" t="s">
        <v>414</v>
      </c>
      <c r="C411" s="117">
        <v>0.76</v>
      </c>
      <c r="D411" s="117">
        <v>-0.1</v>
      </c>
      <c r="E411" s="107">
        <v>746.0</v>
      </c>
    </row>
    <row r="412">
      <c r="A412" s="111" t="s">
        <v>4</v>
      </c>
      <c r="B412" s="111" t="s">
        <v>415</v>
      </c>
      <c r="C412" s="117">
        <v>0.68</v>
      </c>
      <c r="D412" s="117">
        <v>-0.01</v>
      </c>
      <c r="E412" s="107">
        <v>891.0</v>
      </c>
    </row>
    <row r="413">
      <c r="A413" s="111" t="s">
        <v>4</v>
      </c>
      <c r="B413" s="111" t="s">
        <v>416</v>
      </c>
      <c r="C413" s="117">
        <v>0.63</v>
      </c>
      <c r="D413" s="117">
        <v>0.05</v>
      </c>
      <c r="E413" s="107">
        <v>953.0</v>
      </c>
    </row>
    <row r="414">
      <c r="A414" s="111" t="s">
        <v>4</v>
      </c>
      <c r="B414" s="111" t="s">
        <v>417</v>
      </c>
      <c r="C414" s="117">
        <v>0.47</v>
      </c>
      <c r="D414" s="117">
        <v>0.08</v>
      </c>
      <c r="E414" s="107">
        <v>1196.0</v>
      </c>
    </row>
    <row r="415">
      <c r="A415" s="111" t="s">
        <v>4</v>
      </c>
      <c r="B415" s="111" t="s">
        <v>418</v>
      </c>
      <c r="C415" s="117">
        <v>0.36</v>
      </c>
      <c r="D415" s="117">
        <v>0.12</v>
      </c>
      <c r="E415" s="107">
        <v>988.0</v>
      </c>
    </row>
    <row r="416">
      <c r="A416" s="111" t="s">
        <v>4</v>
      </c>
      <c r="B416" s="111" t="s">
        <v>419</v>
      </c>
      <c r="C416" s="117">
        <v>0.33</v>
      </c>
      <c r="D416" s="117">
        <v>0.16</v>
      </c>
      <c r="E416" s="107">
        <v>1079.0</v>
      </c>
    </row>
    <row r="417">
      <c r="A417" s="111" t="s">
        <v>4</v>
      </c>
      <c r="B417" s="111" t="s">
        <v>420</v>
      </c>
      <c r="C417" s="117">
        <v>0.28</v>
      </c>
      <c r="D417" s="117">
        <v>0.22</v>
      </c>
      <c r="E417" s="107">
        <v>1112.0</v>
      </c>
    </row>
    <row r="418">
      <c r="A418" s="111" t="s">
        <v>4</v>
      </c>
      <c r="B418" s="111" t="s">
        <v>421</v>
      </c>
      <c r="C418" s="117">
        <v>0.21</v>
      </c>
      <c r="D418" s="117">
        <v>0.15</v>
      </c>
      <c r="E418" s="107">
        <v>1368.0</v>
      </c>
    </row>
    <row r="419">
      <c r="A419" s="111" t="s">
        <v>4</v>
      </c>
      <c r="B419" s="111" t="s">
        <v>422</v>
      </c>
      <c r="C419" s="117">
        <v>0.16</v>
      </c>
      <c r="D419" s="117">
        <v>0.08</v>
      </c>
      <c r="E419" s="107">
        <v>1103.0</v>
      </c>
    </row>
    <row r="420">
      <c r="A420" s="111" t="s">
        <v>4</v>
      </c>
      <c r="B420" s="111" t="s">
        <v>423</v>
      </c>
      <c r="C420" s="117">
        <v>0.14</v>
      </c>
      <c r="D420" s="117">
        <v>0.2</v>
      </c>
      <c r="E420" s="107">
        <v>1218.0</v>
      </c>
    </row>
    <row r="421">
      <c r="A421" s="111" t="s">
        <v>4</v>
      </c>
      <c r="B421" s="111" t="s">
        <v>424</v>
      </c>
      <c r="C421" s="117">
        <v>0.13</v>
      </c>
      <c r="D421" s="117">
        <v>0.11</v>
      </c>
      <c r="E421" s="107">
        <v>1267.0</v>
      </c>
    </row>
    <row r="422">
      <c r="A422" s="111" t="s">
        <v>4</v>
      </c>
      <c r="B422" s="111" t="s">
        <v>425</v>
      </c>
      <c r="C422" s="117">
        <v>0.11</v>
      </c>
      <c r="D422" s="117">
        <v>0.16</v>
      </c>
      <c r="E422" s="107">
        <v>1469.0</v>
      </c>
    </row>
    <row r="423">
      <c r="A423" s="111" t="s">
        <v>4</v>
      </c>
      <c r="B423" s="111" t="s">
        <v>426</v>
      </c>
      <c r="C423" s="117">
        <v>0.1</v>
      </c>
      <c r="D423" s="117">
        <v>0.27</v>
      </c>
      <c r="E423" s="107">
        <v>1150.0</v>
      </c>
    </row>
    <row r="424">
      <c r="A424" s="111" t="s">
        <v>4</v>
      </c>
      <c r="B424" s="111" t="s">
        <v>427</v>
      </c>
      <c r="C424" s="117">
        <v>-0.05</v>
      </c>
      <c r="D424" s="117">
        <v>-0.18</v>
      </c>
      <c r="E424" s="107">
        <v>669.0</v>
      </c>
    </row>
    <row r="425">
      <c r="A425" s="111" t="s">
        <v>4</v>
      </c>
      <c r="B425" s="111" t="s">
        <v>428</v>
      </c>
      <c r="C425" s="117">
        <v>-0.25</v>
      </c>
      <c r="D425" s="117">
        <v>-0.09</v>
      </c>
      <c r="E425" s="107">
        <v>448.0</v>
      </c>
    </row>
    <row r="426">
      <c r="A426" s="111" t="s">
        <v>4</v>
      </c>
      <c r="B426" s="111" t="s">
        <v>429</v>
      </c>
      <c r="C426" s="117">
        <v>-0.3</v>
      </c>
      <c r="D426" s="117">
        <v>-0.02</v>
      </c>
      <c r="E426" s="107">
        <v>805.0</v>
      </c>
    </row>
    <row r="427">
      <c r="A427" s="111" t="s">
        <v>4</v>
      </c>
      <c r="B427" s="111" t="s">
        <v>430</v>
      </c>
      <c r="C427" s="117">
        <v>-0.3</v>
      </c>
      <c r="D427" s="117">
        <v>-0.05</v>
      </c>
      <c r="E427" s="107">
        <v>761.0</v>
      </c>
    </row>
    <row r="428">
      <c r="A428" s="111" t="s">
        <v>4</v>
      </c>
      <c r="B428" s="111" t="s">
        <v>431</v>
      </c>
      <c r="C428" s="117">
        <v>-0.3</v>
      </c>
      <c r="D428" s="117">
        <v>0.34</v>
      </c>
      <c r="E428" s="107">
        <v>628.0</v>
      </c>
    </row>
    <row r="429">
      <c r="A429" s="111" t="s">
        <v>4</v>
      </c>
      <c r="B429" s="111" t="s">
        <v>432</v>
      </c>
      <c r="C429" s="117">
        <v>0.05</v>
      </c>
      <c r="D429" s="117">
        <v>0.22</v>
      </c>
      <c r="E429" s="107">
        <v>912.0</v>
      </c>
    </row>
    <row r="430">
      <c r="A430" s="111" t="s">
        <v>4</v>
      </c>
      <c r="B430" s="111" t="s">
        <v>433</v>
      </c>
      <c r="C430" s="117">
        <v>0.17</v>
      </c>
      <c r="D430" s="117">
        <v>0.08</v>
      </c>
      <c r="E430" s="107">
        <v>831.0</v>
      </c>
    </row>
    <row r="431">
      <c r="A431" s="111" t="s">
        <v>4</v>
      </c>
      <c r="B431" s="111" t="s">
        <v>434</v>
      </c>
      <c r="C431" s="117">
        <v>0.24</v>
      </c>
      <c r="D431" s="117">
        <v>0.0</v>
      </c>
      <c r="E431" s="107">
        <v>735.0</v>
      </c>
    </row>
    <row r="432">
      <c r="A432" s="111" t="s">
        <v>4</v>
      </c>
      <c r="B432" s="111" t="s">
        <v>435</v>
      </c>
      <c r="C432" s="117">
        <v>0.27</v>
      </c>
      <c r="D432" s="117">
        <v>-0.15</v>
      </c>
      <c r="E432" s="107">
        <v>649.0</v>
      </c>
    </row>
    <row r="433">
      <c r="A433" s="111" t="s">
        <v>4</v>
      </c>
      <c r="B433" s="111" t="s">
        <v>436</v>
      </c>
      <c r="C433" s="117">
        <v>-0.08</v>
      </c>
      <c r="D433" s="117">
        <v>-0.1</v>
      </c>
      <c r="E433" s="107">
        <v>599.0</v>
      </c>
    </row>
    <row r="434">
      <c r="A434" s="111" t="s">
        <v>4</v>
      </c>
      <c r="B434" s="111" t="s">
        <v>437</v>
      </c>
      <c r="C434" s="117">
        <v>-0.04</v>
      </c>
      <c r="D434" s="117">
        <v>-0.04</v>
      </c>
      <c r="E434" s="107">
        <v>969.0</v>
      </c>
    </row>
    <row r="435">
      <c r="A435" s="111" t="s">
        <v>4</v>
      </c>
      <c r="B435" s="111" t="s">
        <v>438</v>
      </c>
      <c r="C435" s="117">
        <v>-0.04</v>
      </c>
      <c r="D435" s="117">
        <v>0.12</v>
      </c>
      <c r="E435" s="107">
        <v>730.0</v>
      </c>
    </row>
    <row r="436">
      <c r="A436" s="111" t="s">
        <v>4</v>
      </c>
      <c r="B436" s="111" t="s">
        <v>439</v>
      </c>
      <c r="C436" s="117">
        <v>0.22</v>
      </c>
      <c r="D436" s="117">
        <v>0.28</v>
      </c>
      <c r="E436" s="107">
        <v>1341.0</v>
      </c>
    </row>
    <row r="437">
      <c r="A437" s="111" t="s">
        <v>4</v>
      </c>
      <c r="B437" s="111" t="s">
        <v>440</v>
      </c>
      <c r="C437" s="117">
        <v>0.7</v>
      </c>
      <c r="D437" s="117">
        <v>0.27</v>
      </c>
      <c r="E437" s="107">
        <v>1554.0</v>
      </c>
    </row>
    <row r="438">
      <c r="A438" s="111" t="s">
        <v>4</v>
      </c>
      <c r="B438" s="111" t="s">
        <v>441</v>
      </c>
      <c r="C438" s="117">
        <v>0.9</v>
      </c>
      <c r="D438" s="117">
        <v>0.33</v>
      </c>
      <c r="E438" s="107">
        <v>1885.0</v>
      </c>
    </row>
    <row r="439">
      <c r="A439" s="111" t="s">
        <v>4</v>
      </c>
      <c r="B439" s="111" t="s">
        <v>442</v>
      </c>
      <c r="C439" s="117">
        <v>1.0</v>
      </c>
      <c r="D439" s="117">
        <v>0.24</v>
      </c>
      <c r="E439" s="107">
        <v>1456.0</v>
      </c>
    </row>
    <row r="440">
      <c r="A440" s="111" t="s">
        <v>4</v>
      </c>
      <c r="B440" s="111" t="s">
        <v>443</v>
      </c>
      <c r="C440" s="117">
        <v>0.94</v>
      </c>
      <c r="D440" s="117">
        <v>0.22</v>
      </c>
      <c r="E440" s="107">
        <v>1651.0</v>
      </c>
    </row>
    <row r="441">
      <c r="A441" s="111" t="s">
        <v>4</v>
      </c>
      <c r="B441" s="111" t="s">
        <v>444</v>
      </c>
      <c r="C441" s="117">
        <v>0.58</v>
      </c>
      <c r="D441" s="117">
        <v>0.27</v>
      </c>
      <c r="E441" s="107">
        <v>1759.0</v>
      </c>
    </row>
    <row r="442">
      <c r="A442" s="111" t="s">
        <v>5</v>
      </c>
      <c r="B442" s="111" t="s">
        <v>335</v>
      </c>
      <c r="C442" s="113"/>
      <c r="D442" s="113"/>
    </row>
    <row r="443">
      <c r="A443" s="111" t="s">
        <v>5</v>
      </c>
      <c r="B443" s="111" t="s">
        <v>336</v>
      </c>
      <c r="C443" s="113"/>
      <c r="D443" s="113"/>
    </row>
    <row r="444">
      <c r="A444" s="111" t="s">
        <v>5</v>
      </c>
      <c r="B444" s="111" t="s">
        <v>337</v>
      </c>
      <c r="C444" s="113"/>
      <c r="D444" s="113"/>
    </row>
    <row r="445">
      <c r="A445" s="111" t="s">
        <v>5</v>
      </c>
      <c r="B445" s="111" t="s">
        <v>338</v>
      </c>
      <c r="C445" s="113"/>
      <c r="D445" s="113"/>
    </row>
    <row r="446">
      <c r="A446" s="111" t="s">
        <v>5</v>
      </c>
      <c r="B446" s="111" t="s">
        <v>339</v>
      </c>
      <c r="C446" s="113"/>
      <c r="D446" s="113"/>
    </row>
    <row r="447">
      <c r="A447" s="111" t="s">
        <v>5</v>
      </c>
      <c r="B447" s="111" t="s">
        <v>340</v>
      </c>
      <c r="C447" s="113"/>
      <c r="D447" s="113"/>
    </row>
    <row r="448">
      <c r="A448" s="111" t="s">
        <v>5</v>
      </c>
      <c r="B448" s="111" t="s">
        <v>341</v>
      </c>
      <c r="C448" s="113"/>
      <c r="D448" s="113"/>
    </row>
    <row r="449">
      <c r="A449" s="111" t="s">
        <v>5</v>
      </c>
      <c r="B449" s="111" t="s">
        <v>342</v>
      </c>
      <c r="C449" s="113"/>
      <c r="D449" s="113"/>
    </row>
    <row r="450">
      <c r="A450" s="111" t="s">
        <v>5</v>
      </c>
      <c r="B450" s="111" t="s">
        <v>343</v>
      </c>
      <c r="C450" s="113"/>
      <c r="D450" s="113"/>
    </row>
    <row r="451">
      <c r="A451" s="111" t="s">
        <v>5</v>
      </c>
      <c r="B451" s="111" t="s">
        <v>344</v>
      </c>
      <c r="C451" s="113"/>
      <c r="D451" s="113"/>
    </row>
    <row r="452">
      <c r="A452" s="111" t="s">
        <v>5</v>
      </c>
      <c r="B452" s="111" t="s">
        <v>345</v>
      </c>
      <c r="C452" s="113"/>
      <c r="D452" s="113"/>
    </row>
    <row r="453">
      <c r="A453" s="111" t="s">
        <v>5</v>
      </c>
      <c r="B453" s="111" t="s">
        <v>346</v>
      </c>
      <c r="C453" s="113"/>
      <c r="D453" s="113"/>
    </row>
    <row r="454">
      <c r="A454" s="111" t="s">
        <v>5</v>
      </c>
      <c r="B454" s="111" t="s">
        <v>347</v>
      </c>
      <c r="C454" s="113"/>
      <c r="D454" s="113"/>
    </row>
    <row r="455">
      <c r="A455" s="111" t="s">
        <v>5</v>
      </c>
      <c r="B455" s="111" t="s">
        <v>348</v>
      </c>
      <c r="C455" s="113"/>
      <c r="D455" s="113"/>
    </row>
    <row r="456">
      <c r="A456" s="111" t="s">
        <v>5</v>
      </c>
      <c r="B456" s="111" t="s">
        <v>349</v>
      </c>
      <c r="C456" s="113"/>
      <c r="D456" s="113"/>
    </row>
    <row r="457">
      <c r="A457" s="111" t="s">
        <v>5</v>
      </c>
      <c r="B457" s="111" t="s">
        <v>350</v>
      </c>
      <c r="C457" s="113"/>
      <c r="D457" s="113"/>
    </row>
    <row r="458">
      <c r="A458" s="111" t="s">
        <v>5</v>
      </c>
      <c r="B458" s="111" t="s">
        <v>351</v>
      </c>
      <c r="C458" s="113"/>
      <c r="D458" s="113"/>
    </row>
    <row r="459">
      <c r="A459" s="111" t="s">
        <v>5</v>
      </c>
      <c r="B459" s="111" t="s">
        <v>352</v>
      </c>
      <c r="C459" s="113"/>
      <c r="D459" s="113"/>
    </row>
    <row r="460">
      <c r="A460" s="111" t="s">
        <v>5</v>
      </c>
      <c r="B460" s="111" t="s">
        <v>353</v>
      </c>
      <c r="C460" s="113"/>
      <c r="D460" s="113"/>
    </row>
    <row r="461">
      <c r="A461" s="111" t="s">
        <v>5</v>
      </c>
      <c r="B461" s="111" t="s">
        <v>354</v>
      </c>
      <c r="C461" s="113"/>
      <c r="D461" s="113"/>
    </row>
    <row r="462">
      <c r="A462" s="111" t="s">
        <v>5</v>
      </c>
      <c r="B462" s="111" t="s">
        <v>355</v>
      </c>
      <c r="C462" s="113"/>
      <c r="D462" s="113"/>
    </row>
    <row r="463">
      <c r="A463" s="111" t="s">
        <v>5</v>
      </c>
      <c r="B463" s="111" t="s">
        <v>356</v>
      </c>
      <c r="C463" s="113"/>
      <c r="D463" s="113"/>
    </row>
    <row r="464">
      <c r="A464" s="111" t="s">
        <v>5</v>
      </c>
      <c r="B464" s="111" t="s">
        <v>357</v>
      </c>
      <c r="C464" s="113"/>
      <c r="D464" s="113"/>
    </row>
    <row r="465">
      <c r="A465" s="111" t="s">
        <v>5</v>
      </c>
      <c r="B465" s="111" t="s">
        <v>358</v>
      </c>
      <c r="C465" s="113"/>
      <c r="D465" s="113"/>
    </row>
    <row r="466">
      <c r="A466" s="111" t="s">
        <v>5</v>
      </c>
      <c r="B466" s="111" t="s">
        <v>359</v>
      </c>
      <c r="C466" s="113"/>
      <c r="D466" s="113"/>
    </row>
    <row r="467">
      <c r="A467" s="111" t="s">
        <v>5</v>
      </c>
      <c r="B467" s="111" t="s">
        <v>360</v>
      </c>
      <c r="C467" s="113"/>
      <c r="D467" s="113"/>
    </row>
    <row r="468">
      <c r="A468" s="111" t="s">
        <v>5</v>
      </c>
      <c r="B468" s="111" t="s">
        <v>361</v>
      </c>
      <c r="C468" s="113"/>
      <c r="D468" s="113"/>
    </row>
    <row r="469">
      <c r="A469" s="111" t="s">
        <v>5</v>
      </c>
      <c r="B469" s="111" t="s">
        <v>362</v>
      </c>
      <c r="C469" s="113"/>
      <c r="D469" s="113"/>
    </row>
    <row r="470">
      <c r="A470" s="111" t="s">
        <v>5</v>
      </c>
      <c r="B470" s="111" t="s">
        <v>363</v>
      </c>
      <c r="C470" s="113"/>
      <c r="D470" s="113"/>
    </row>
    <row r="471">
      <c r="A471" s="111" t="s">
        <v>5</v>
      </c>
      <c r="B471" s="111" t="s">
        <v>364</v>
      </c>
      <c r="C471" s="113"/>
      <c r="D471" s="113"/>
    </row>
    <row r="472">
      <c r="A472" s="111" t="s">
        <v>5</v>
      </c>
      <c r="B472" s="111" t="s">
        <v>365</v>
      </c>
      <c r="C472" s="113"/>
      <c r="D472" s="113"/>
    </row>
    <row r="473">
      <c r="A473" s="111" t="s">
        <v>5</v>
      </c>
      <c r="B473" s="111" t="s">
        <v>366</v>
      </c>
      <c r="C473" s="113"/>
      <c r="D473" s="113"/>
    </row>
    <row r="474">
      <c r="A474" s="111" t="s">
        <v>5</v>
      </c>
      <c r="B474" s="111" t="s">
        <v>367</v>
      </c>
      <c r="C474" s="113"/>
      <c r="D474" s="113"/>
    </row>
    <row r="475">
      <c r="A475" s="111" t="s">
        <v>5</v>
      </c>
      <c r="B475" s="111" t="s">
        <v>368</v>
      </c>
      <c r="C475" s="113"/>
      <c r="D475" s="113"/>
    </row>
    <row r="476">
      <c r="A476" s="111" t="s">
        <v>5</v>
      </c>
      <c r="B476" s="111" t="s">
        <v>369</v>
      </c>
      <c r="C476" s="113"/>
      <c r="D476" s="113"/>
    </row>
    <row r="477">
      <c r="A477" s="111" t="s">
        <v>5</v>
      </c>
      <c r="B477" s="111" t="s">
        <v>370</v>
      </c>
      <c r="C477" s="113"/>
      <c r="D477" s="113"/>
    </row>
    <row r="478">
      <c r="A478" s="111" t="s">
        <v>5</v>
      </c>
      <c r="B478" s="111" t="s">
        <v>371</v>
      </c>
      <c r="C478" s="113"/>
      <c r="D478" s="113"/>
    </row>
    <row r="479">
      <c r="A479" s="111" t="s">
        <v>5</v>
      </c>
      <c r="B479" s="111" t="s">
        <v>372</v>
      </c>
      <c r="C479" s="113"/>
      <c r="D479" s="113"/>
    </row>
    <row r="480">
      <c r="A480" s="111" t="s">
        <v>5</v>
      </c>
      <c r="B480" s="111" t="s">
        <v>373</v>
      </c>
      <c r="C480" s="113"/>
      <c r="D480" s="113"/>
    </row>
    <row r="481">
      <c r="A481" s="111" t="s">
        <v>5</v>
      </c>
      <c r="B481" s="111" t="s">
        <v>374</v>
      </c>
      <c r="C481" s="113"/>
      <c r="D481" s="113"/>
    </row>
    <row r="482">
      <c r="A482" s="111" t="s">
        <v>5</v>
      </c>
      <c r="B482" s="111" t="s">
        <v>375</v>
      </c>
      <c r="C482" s="113"/>
      <c r="D482" s="113"/>
    </row>
    <row r="483">
      <c r="A483" s="111" t="s">
        <v>5</v>
      </c>
      <c r="B483" s="111" t="s">
        <v>376</v>
      </c>
      <c r="C483" s="113"/>
      <c r="D483" s="113"/>
    </row>
    <row r="484">
      <c r="A484" s="111" t="s">
        <v>5</v>
      </c>
      <c r="B484" s="111" t="s">
        <v>377</v>
      </c>
      <c r="C484" s="113"/>
      <c r="D484" s="113"/>
    </row>
    <row r="485">
      <c r="A485" s="111" t="s">
        <v>5</v>
      </c>
      <c r="B485" s="111" t="s">
        <v>378</v>
      </c>
      <c r="C485" s="113"/>
      <c r="D485" s="113"/>
    </row>
    <row r="486">
      <c r="A486" s="111" t="s">
        <v>5</v>
      </c>
      <c r="B486" s="111" t="s">
        <v>379</v>
      </c>
      <c r="C486" s="113"/>
      <c r="D486" s="113"/>
    </row>
    <row r="487">
      <c r="A487" s="111" t="s">
        <v>5</v>
      </c>
      <c r="B487" s="111" t="s">
        <v>380</v>
      </c>
      <c r="C487" s="113"/>
      <c r="D487" s="113"/>
    </row>
    <row r="488">
      <c r="A488" s="111" t="s">
        <v>5</v>
      </c>
      <c r="B488" s="111" t="s">
        <v>381</v>
      </c>
      <c r="C488" s="113"/>
      <c r="D488" s="113"/>
    </row>
    <row r="489">
      <c r="A489" s="111" t="s">
        <v>5</v>
      </c>
      <c r="B489" s="111" t="s">
        <v>382</v>
      </c>
      <c r="C489" s="113"/>
      <c r="D489" s="113"/>
    </row>
    <row r="490">
      <c r="A490" s="111" t="s">
        <v>5</v>
      </c>
      <c r="B490" s="111" t="s">
        <v>383</v>
      </c>
      <c r="C490" s="113"/>
      <c r="D490" s="113"/>
      <c r="E490" s="107"/>
    </row>
    <row r="491">
      <c r="A491" s="111" t="s">
        <v>5</v>
      </c>
      <c r="B491" s="111" t="s">
        <v>384</v>
      </c>
      <c r="C491" s="113"/>
      <c r="D491" s="113"/>
      <c r="E491" s="107"/>
    </row>
    <row r="492">
      <c r="A492" s="111" t="s">
        <v>5</v>
      </c>
      <c r="B492" s="111" t="s">
        <v>385</v>
      </c>
      <c r="C492" s="113"/>
      <c r="D492" s="113"/>
      <c r="E492" s="107"/>
    </row>
    <row r="493">
      <c r="A493" s="111" t="s">
        <v>5</v>
      </c>
      <c r="B493" s="111" t="s">
        <v>386</v>
      </c>
      <c r="C493" s="113"/>
      <c r="D493" s="117"/>
      <c r="E493" s="107"/>
    </row>
    <row r="494">
      <c r="A494" s="111" t="s">
        <v>5</v>
      </c>
      <c r="B494" s="111" t="s">
        <v>387</v>
      </c>
      <c r="C494" s="113"/>
      <c r="D494" s="117"/>
      <c r="E494" s="107"/>
    </row>
    <row r="495">
      <c r="A495" s="111" t="s">
        <v>5</v>
      </c>
      <c r="B495" s="111" t="s">
        <v>388</v>
      </c>
      <c r="C495" s="113"/>
      <c r="D495" s="117"/>
      <c r="E495" s="107"/>
    </row>
    <row r="496">
      <c r="A496" s="111" t="s">
        <v>5</v>
      </c>
      <c r="B496" s="111" t="s">
        <v>389</v>
      </c>
      <c r="C496" s="113"/>
      <c r="D496" s="117"/>
      <c r="E496" s="107"/>
    </row>
    <row r="497">
      <c r="A497" s="111" t="s">
        <v>5</v>
      </c>
      <c r="B497" s="111" t="s">
        <v>390</v>
      </c>
      <c r="C497" s="113"/>
      <c r="D497" s="117"/>
      <c r="E497" s="107"/>
    </row>
    <row r="498">
      <c r="A498" s="111" t="s">
        <v>5</v>
      </c>
      <c r="B498" s="111" t="s">
        <v>391</v>
      </c>
      <c r="C498" s="117">
        <v>0.36</v>
      </c>
      <c r="D498" s="117">
        <v>0.5</v>
      </c>
      <c r="E498" s="107">
        <v>159.0</v>
      </c>
    </row>
    <row r="499">
      <c r="A499" s="111" t="s">
        <v>5</v>
      </c>
      <c r="B499" s="111" t="s">
        <v>392</v>
      </c>
      <c r="C499" s="117">
        <v>0.35</v>
      </c>
      <c r="D499" s="117">
        <v>0.5</v>
      </c>
      <c r="E499" s="107">
        <v>159.0</v>
      </c>
    </row>
    <row r="500">
      <c r="A500" s="111" t="s">
        <v>5</v>
      </c>
      <c r="B500" s="111" t="s">
        <v>393</v>
      </c>
      <c r="C500" s="117">
        <v>0.33</v>
      </c>
      <c r="D500" s="117">
        <v>0.49</v>
      </c>
      <c r="E500" s="107">
        <v>159.0</v>
      </c>
    </row>
    <row r="501">
      <c r="A501" s="111" t="s">
        <v>5</v>
      </c>
      <c r="B501" s="111" t="s">
        <v>394</v>
      </c>
      <c r="C501" s="117">
        <v>0.31</v>
      </c>
      <c r="D501" s="117">
        <v>0.48</v>
      </c>
      <c r="E501" s="107">
        <v>159.0</v>
      </c>
    </row>
    <row r="502">
      <c r="A502" s="111" t="s">
        <v>5</v>
      </c>
      <c r="B502" s="111" t="s">
        <v>395</v>
      </c>
      <c r="C502" s="117">
        <v>0.29</v>
      </c>
      <c r="D502" s="117">
        <v>0.47</v>
      </c>
      <c r="E502" s="107">
        <v>191.0</v>
      </c>
    </row>
    <row r="503">
      <c r="A503" s="111" t="s">
        <v>5</v>
      </c>
      <c r="B503" s="111" t="s">
        <v>396</v>
      </c>
      <c r="C503" s="117">
        <v>0.26</v>
      </c>
      <c r="D503" s="117">
        <v>0.45</v>
      </c>
      <c r="E503" s="107">
        <v>191.0</v>
      </c>
    </row>
    <row r="504">
      <c r="A504" s="111" t="s">
        <v>5</v>
      </c>
      <c r="B504" s="111" t="s">
        <v>397</v>
      </c>
      <c r="C504" s="117">
        <v>0.23</v>
      </c>
      <c r="D504" s="117">
        <v>0.44</v>
      </c>
      <c r="E504" s="107">
        <v>191.0</v>
      </c>
    </row>
    <row r="505">
      <c r="A505" s="111" t="s">
        <v>5</v>
      </c>
      <c r="B505" s="111" t="s">
        <v>398</v>
      </c>
      <c r="C505" s="117">
        <v>0.2</v>
      </c>
      <c r="D505" s="117">
        <v>0.42</v>
      </c>
      <c r="E505" s="107">
        <v>191.0</v>
      </c>
    </row>
    <row r="506">
      <c r="A506" s="111" t="s">
        <v>5</v>
      </c>
      <c r="B506" s="111" t="s">
        <v>399</v>
      </c>
      <c r="C506" s="117">
        <v>0.21</v>
      </c>
      <c r="D506" s="117">
        <v>0.4</v>
      </c>
      <c r="E506" s="107">
        <v>236.0</v>
      </c>
    </row>
    <row r="507">
      <c r="A507" s="111" t="s">
        <v>5</v>
      </c>
      <c r="B507" s="111" t="s">
        <v>400</v>
      </c>
      <c r="C507" s="117">
        <v>0.22</v>
      </c>
      <c r="D507" s="117">
        <v>0.39</v>
      </c>
      <c r="E507" s="107">
        <v>236.0</v>
      </c>
    </row>
    <row r="508">
      <c r="A508" s="111" t="s">
        <v>5</v>
      </c>
      <c r="B508" s="111" t="s">
        <v>401</v>
      </c>
      <c r="C508" s="117">
        <v>0.23</v>
      </c>
      <c r="D508" s="117">
        <v>0.37</v>
      </c>
      <c r="E508" s="107">
        <v>236.0</v>
      </c>
    </row>
    <row r="509">
      <c r="A509" s="111" t="s">
        <v>5</v>
      </c>
      <c r="B509" s="111" t="s">
        <v>402</v>
      </c>
      <c r="C509" s="117">
        <v>0.24</v>
      </c>
      <c r="D509" s="117">
        <v>0.35</v>
      </c>
      <c r="E509" s="107">
        <v>236.0</v>
      </c>
    </row>
    <row r="510">
      <c r="A510" s="111" t="s">
        <v>5</v>
      </c>
      <c r="B510" s="111" t="s">
        <v>403</v>
      </c>
      <c r="C510" s="117">
        <v>0.26</v>
      </c>
      <c r="D510" s="117">
        <v>0.34</v>
      </c>
      <c r="E510" s="107">
        <v>312.0</v>
      </c>
    </row>
    <row r="511">
      <c r="A511" s="111" t="s">
        <v>5</v>
      </c>
      <c r="B511" s="111" t="s">
        <v>404</v>
      </c>
      <c r="C511" s="117">
        <v>0.28</v>
      </c>
      <c r="D511" s="117">
        <v>0.34</v>
      </c>
      <c r="E511" s="107">
        <v>312.0</v>
      </c>
    </row>
    <row r="512">
      <c r="A512" s="111" t="s">
        <v>5</v>
      </c>
      <c r="B512" s="111" t="s">
        <v>405</v>
      </c>
      <c r="C512" s="117">
        <v>0.3</v>
      </c>
      <c r="D512" s="117">
        <v>0.33</v>
      </c>
      <c r="E512" s="107">
        <v>312.0</v>
      </c>
    </row>
    <row r="513">
      <c r="A513" s="111" t="s">
        <v>5</v>
      </c>
      <c r="B513" s="111" t="s">
        <v>406</v>
      </c>
      <c r="C513" s="117">
        <v>0.32</v>
      </c>
      <c r="D513" s="117">
        <v>0.33</v>
      </c>
      <c r="E513" s="107">
        <v>312.0</v>
      </c>
    </row>
    <row r="514">
      <c r="A514" s="111" t="s">
        <v>5</v>
      </c>
      <c r="B514" s="111" t="s">
        <v>407</v>
      </c>
      <c r="C514" s="117">
        <v>0.29</v>
      </c>
      <c r="D514" s="117">
        <v>0.3</v>
      </c>
      <c r="E514" s="107">
        <v>373.0</v>
      </c>
    </row>
    <row r="515">
      <c r="A515" s="111" t="s">
        <v>5</v>
      </c>
      <c r="B515" s="111" t="s">
        <v>408</v>
      </c>
      <c r="C515" s="117">
        <v>0.26</v>
      </c>
      <c r="D515" s="117">
        <v>0.27</v>
      </c>
      <c r="E515" s="107">
        <v>373.0</v>
      </c>
    </row>
    <row r="516">
      <c r="A516" s="111" t="s">
        <v>5</v>
      </c>
      <c r="B516" s="111" t="s">
        <v>409</v>
      </c>
      <c r="C516" s="117">
        <v>0.23</v>
      </c>
      <c r="D516" s="117">
        <v>0.25</v>
      </c>
      <c r="E516" s="107">
        <v>373.0</v>
      </c>
    </row>
    <row r="517">
      <c r="A517" s="111" t="s">
        <v>5</v>
      </c>
      <c r="B517" s="111" t="s">
        <v>410</v>
      </c>
      <c r="C517" s="117">
        <v>0.2</v>
      </c>
      <c r="D517" s="117">
        <v>0.22</v>
      </c>
      <c r="E517" s="107">
        <v>373.0</v>
      </c>
    </row>
    <row r="518">
      <c r="A518" s="111" t="s">
        <v>5</v>
      </c>
      <c r="B518" s="111" t="s">
        <v>411</v>
      </c>
      <c r="C518" s="117">
        <v>0.13</v>
      </c>
      <c r="D518" s="117">
        <v>0.19</v>
      </c>
      <c r="E518" s="107">
        <v>352.0</v>
      </c>
    </row>
    <row r="519">
      <c r="A519" s="111" t="s">
        <v>5</v>
      </c>
      <c r="B519" s="111" t="s">
        <v>412</v>
      </c>
      <c r="C519" s="117">
        <v>0.1</v>
      </c>
      <c r="D519" s="117">
        <v>0.16</v>
      </c>
      <c r="E519" s="107">
        <v>391.0</v>
      </c>
    </row>
    <row r="520">
      <c r="A520" s="111" t="s">
        <v>5</v>
      </c>
      <c r="B520" s="111" t="s">
        <v>413</v>
      </c>
      <c r="C520" s="117">
        <v>0.08</v>
      </c>
      <c r="D520" s="117">
        <v>0.15</v>
      </c>
      <c r="E520" s="107">
        <v>421.0</v>
      </c>
    </row>
    <row r="521">
      <c r="A521" s="111" t="s">
        <v>5</v>
      </c>
      <c r="B521" s="111" t="s">
        <v>414</v>
      </c>
      <c r="C521" s="117">
        <v>-0.01</v>
      </c>
      <c r="D521" s="117">
        <v>0.1</v>
      </c>
      <c r="E521" s="107">
        <v>316.0</v>
      </c>
    </row>
    <row r="522">
      <c r="A522" s="111" t="s">
        <v>5</v>
      </c>
      <c r="B522" s="111" t="s">
        <v>415</v>
      </c>
      <c r="C522" s="117">
        <v>0.02</v>
      </c>
      <c r="D522" s="117">
        <v>0.09</v>
      </c>
      <c r="E522" s="107">
        <v>372.0</v>
      </c>
    </row>
    <row r="523">
      <c r="A523" s="111" t="s">
        <v>5</v>
      </c>
      <c r="B523" s="111" t="s">
        <v>416</v>
      </c>
      <c r="C523" s="117">
        <v>0.03</v>
      </c>
      <c r="D523" s="117">
        <v>0.08</v>
      </c>
      <c r="E523" s="107">
        <v>424.0</v>
      </c>
    </row>
    <row r="524">
      <c r="A524" s="111" t="s">
        <v>5</v>
      </c>
      <c r="B524" s="111" t="s">
        <v>417</v>
      </c>
      <c r="C524" s="117">
        <v>0.01</v>
      </c>
      <c r="D524" s="117">
        <v>0.07</v>
      </c>
      <c r="E524" s="107">
        <v>439.0</v>
      </c>
    </row>
    <row r="525">
      <c r="A525" s="111" t="s">
        <v>5</v>
      </c>
      <c r="B525" s="111" t="s">
        <v>418</v>
      </c>
      <c r="C525" s="117">
        <v>0.05</v>
      </c>
      <c r="D525" s="117">
        <v>0.07</v>
      </c>
      <c r="E525" s="107">
        <v>321.0</v>
      </c>
    </row>
    <row r="526">
      <c r="A526" s="111" t="s">
        <v>5</v>
      </c>
      <c r="B526" s="111" t="s">
        <v>419</v>
      </c>
      <c r="C526" s="117">
        <v>0.04</v>
      </c>
      <c r="D526" s="117">
        <v>0.06</v>
      </c>
      <c r="E526" s="107">
        <v>378.0</v>
      </c>
    </row>
    <row r="527">
      <c r="A527" s="111" t="s">
        <v>5</v>
      </c>
      <c r="B527" s="111" t="s">
        <v>420</v>
      </c>
      <c r="C527" s="117">
        <v>0.02</v>
      </c>
      <c r="D527" s="117">
        <v>0.06</v>
      </c>
      <c r="E527" s="107">
        <v>433.0</v>
      </c>
    </row>
    <row r="528">
      <c r="A528" s="111" t="s">
        <v>5</v>
      </c>
      <c r="B528" s="111" t="s">
        <v>421</v>
      </c>
      <c r="C528" s="117">
        <v>0.02</v>
      </c>
      <c r="D528" s="117">
        <v>0.09</v>
      </c>
      <c r="E528" s="107">
        <v>458.0</v>
      </c>
    </row>
    <row r="529">
      <c r="A529" s="111" t="s">
        <v>5</v>
      </c>
      <c r="B529" s="111" t="s">
        <v>422</v>
      </c>
      <c r="C529" s="117">
        <v>0.04</v>
      </c>
      <c r="D529" s="117">
        <v>0.1</v>
      </c>
      <c r="E529" s="107">
        <v>346.0</v>
      </c>
    </row>
    <row r="530">
      <c r="A530" s="111" t="s">
        <v>5</v>
      </c>
      <c r="B530" s="111" t="s">
        <v>423</v>
      </c>
      <c r="C530" s="117">
        <v>0.03</v>
      </c>
      <c r="D530" s="117">
        <v>0.11</v>
      </c>
      <c r="E530" s="107">
        <v>376.0</v>
      </c>
    </row>
    <row r="531">
      <c r="A531" s="111" t="s">
        <v>5</v>
      </c>
      <c r="B531" s="111" t="s">
        <v>424</v>
      </c>
      <c r="C531" s="117">
        <v>0.02</v>
      </c>
      <c r="D531" s="117">
        <v>0.13</v>
      </c>
      <c r="E531" s="107">
        <v>422.0</v>
      </c>
    </row>
    <row r="532">
      <c r="A532" s="111" t="s">
        <v>5</v>
      </c>
      <c r="B532" s="111" t="s">
        <v>425</v>
      </c>
      <c r="C532" s="117">
        <v>0.0</v>
      </c>
      <c r="D532" s="117">
        <v>0.12</v>
      </c>
      <c r="E532" s="107">
        <v>428.0</v>
      </c>
    </row>
    <row r="533">
      <c r="A533" s="111" t="s">
        <v>5</v>
      </c>
      <c r="B533" s="111" t="s">
        <v>426</v>
      </c>
      <c r="C533" s="117">
        <v>-0.03</v>
      </c>
      <c r="D533" s="117">
        <v>0.12</v>
      </c>
      <c r="E533" s="107">
        <v>335.0</v>
      </c>
    </row>
    <row r="534">
      <c r="A534" s="111" t="s">
        <v>5</v>
      </c>
      <c r="B534" s="111" t="s">
        <v>427</v>
      </c>
      <c r="C534" s="117">
        <v>-0.1</v>
      </c>
      <c r="D534" s="117">
        <v>0.07</v>
      </c>
      <c r="E534" s="107">
        <v>278.0</v>
      </c>
    </row>
    <row r="535">
      <c r="A535" s="111" t="s">
        <v>5</v>
      </c>
      <c r="B535" s="111" t="s">
        <v>428</v>
      </c>
      <c r="C535" s="117">
        <v>-0.3</v>
      </c>
      <c r="D535" s="117">
        <v>-0.5</v>
      </c>
      <c r="E535" s="107">
        <v>59.0</v>
      </c>
    </row>
    <row r="536">
      <c r="A536" s="111" t="s">
        <v>5</v>
      </c>
      <c r="B536" s="111" t="s">
        <v>429</v>
      </c>
      <c r="C536" s="117">
        <v>-0.3</v>
      </c>
      <c r="D536" s="117">
        <v>-0.5</v>
      </c>
      <c r="E536" s="107">
        <v>151.0</v>
      </c>
    </row>
    <row r="537">
      <c r="A537" s="111" t="s">
        <v>5</v>
      </c>
      <c r="B537" s="111" t="s">
        <v>430</v>
      </c>
      <c r="C537" s="117">
        <v>-0.3</v>
      </c>
      <c r="D537" s="117">
        <v>-0.5</v>
      </c>
      <c r="E537" s="107">
        <v>116.0</v>
      </c>
    </row>
    <row r="538">
      <c r="A538" s="111" t="s">
        <v>5</v>
      </c>
      <c r="B538" s="111" t="s">
        <v>431</v>
      </c>
      <c r="C538" s="117">
        <v>-0.3</v>
      </c>
      <c r="D538" s="117">
        <v>-0.5</v>
      </c>
      <c r="E538" s="107">
        <v>123.0</v>
      </c>
    </row>
    <row r="539">
      <c r="A539" s="111" t="s">
        <v>5</v>
      </c>
      <c r="B539" s="111" t="s">
        <v>432</v>
      </c>
      <c r="C539" s="117">
        <v>0.28</v>
      </c>
      <c r="D539" s="117">
        <v>-0.5</v>
      </c>
      <c r="E539" s="107">
        <v>235.0</v>
      </c>
    </row>
    <row r="540">
      <c r="A540" s="111" t="s">
        <v>5</v>
      </c>
      <c r="B540" s="111" t="s">
        <v>433</v>
      </c>
      <c r="C540" s="117">
        <v>0.69</v>
      </c>
      <c r="D540" s="117">
        <v>-0.47</v>
      </c>
      <c r="E540" s="107">
        <v>303.0</v>
      </c>
    </row>
    <row r="541">
      <c r="A541" s="111" t="s">
        <v>5</v>
      </c>
      <c r="B541" s="111" t="s">
        <v>434</v>
      </c>
      <c r="C541" s="117">
        <v>1.0</v>
      </c>
      <c r="D541" s="117">
        <v>-0.29</v>
      </c>
      <c r="E541" s="107">
        <v>241.0</v>
      </c>
    </row>
    <row r="542">
      <c r="A542" s="111" t="s">
        <v>5</v>
      </c>
      <c r="B542" s="111" t="s">
        <v>435</v>
      </c>
      <c r="C542" s="117">
        <v>1.0</v>
      </c>
      <c r="D542" s="117">
        <v>-0.13</v>
      </c>
      <c r="E542" s="107">
        <v>262.0</v>
      </c>
    </row>
    <row r="543">
      <c r="A543" s="111" t="s">
        <v>5</v>
      </c>
      <c r="B543" s="111" t="s">
        <v>436</v>
      </c>
      <c r="C543" s="117">
        <v>1.0</v>
      </c>
      <c r="D543" s="117">
        <v>-0.05</v>
      </c>
      <c r="E543" s="107">
        <v>417.0</v>
      </c>
    </row>
    <row r="544">
      <c r="A544" s="111" t="s">
        <v>5</v>
      </c>
      <c r="B544" s="111" t="s">
        <v>437</v>
      </c>
      <c r="C544" s="117">
        <v>0.87</v>
      </c>
      <c r="D544" s="117">
        <v>-0.01</v>
      </c>
      <c r="E544" s="107">
        <v>459.0</v>
      </c>
    </row>
    <row r="545">
      <c r="A545" s="111" t="s">
        <v>5</v>
      </c>
      <c r="B545" s="111" t="s">
        <v>438</v>
      </c>
      <c r="C545" s="117">
        <v>0.72</v>
      </c>
      <c r="D545" s="117">
        <v>0.02</v>
      </c>
      <c r="E545" s="107">
        <v>354.0</v>
      </c>
    </row>
    <row r="546">
      <c r="A546" s="111" t="s">
        <v>5</v>
      </c>
      <c r="B546" s="111" t="s">
        <v>439</v>
      </c>
      <c r="C546" s="117">
        <v>0.54</v>
      </c>
      <c r="D546" s="117">
        <v>0.04</v>
      </c>
      <c r="E546" s="107">
        <v>371.0</v>
      </c>
    </row>
    <row r="547">
      <c r="A547" s="111" t="s">
        <v>5</v>
      </c>
      <c r="B547" s="111" t="s">
        <v>440</v>
      </c>
      <c r="C547" s="117">
        <v>0.4</v>
      </c>
      <c r="D547" s="117">
        <v>0.03</v>
      </c>
      <c r="E547" s="107">
        <v>494.0</v>
      </c>
    </row>
    <row r="548">
      <c r="A548" s="111" t="s">
        <v>5</v>
      </c>
      <c r="B548" s="111" t="s">
        <v>441</v>
      </c>
      <c r="C548" s="117">
        <v>0.31</v>
      </c>
      <c r="D548" s="117">
        <v>0.03</v>
      </c>
      <c r="E548" s="107">
        <v>533.0</v>
      </c>
    </row>
    <row r="549">
      <c r="A549" s="111" t="s">
        <v>5</v>
      </c>
      <c r="B549" s="111" t="s">
        <v>442</v>
      </c>
      <c r="C549" s="117">
        <v>0.22</v>
      </c>
      <c r="D549" s="117">
        <v>0.06</v>
      </c>
      <c r="E549" s="107">
        <v>390.0</v>
      </c>
    </row>
    <row r="550">
      <c r="A550" s="111" t="s">
        <v>5</v>
      </c>
      <c r="B550" s="111" t="s">
        <v>443</v>
      </c>
      <c r="C550" s="117">
        <v>0.13</v>
      </c>
      <c r="D550" s="117">
        <v>0.06</v>
      </c>
      <c r="E550" s="107">
        <v>395.0</v>
      </c>
    </row>
    <row r="551">
      <c r="A551" s="111" t="s">
        <v>5</v>
      </c>
      <c r="B551" s="111" t="s">
        <v>444</v>
      </c>
      <c r="C551" s="117">
        <v>0.08</v>
      </c>
      <c r="D551" s="117">
        <v>0.06</v>
      </c>
      <c r="E551" s="107">
        <v>497.0</v>
      </c>
    </row>
    <row r="552">
      <c r="A552" s="111" t="s">
        <v>6</v>
      </c>
      <c r="B552" s="111" t="s">
        <v>335</v>
      </c>
      <c r="C552" s="113"/>
      <c r="D552" s="113"/>
    </row>
    <row r="553">
      <c r="A553" s="111" t="s">
        <v>6</v>
      </c>
      <c r="B553" s="111" t="s">
        <v>336</v>
      </c>
      <c r="C553" s="113"/>
      <c r="D553" s="113"/>
    </row>
    <row r="554">
      <c r="A554" s="111" t="s">
        <v>6</v>
      </c>
      <c r="B554" s="111" t="s">
        <v>337</v>
      </c>
      <c r="C554" s="113"/>
      <c r="D554" s="113"/>
    </row>
    <row r="555">
      <c r="A555" s="111" t="s">
        <v>6</v>
      </c>
      <c r="B555" s="111" t="s">
        <v>338</v>
      </c>
      <c r="C555" s="113"/>
      <c r="D555" s="113"/>
    </row>
    <row r="556">
      <c r="A556" s="111" t="s">
        <v>6</v>
      </c>
      <c r="B556" s="111" t="s">
        <v>339</v>
      </c>
      <c r="C556" s="113"/>
      <c r="D556" s="113"/>
    </row>
    <row r="557">
      <c r="A557" s="111" t="s">
        <v>6</v>
      </c>
      <c r="B557" s="111" t="s">
        <v>340</v>
      </c>
      <c r="C557" s="113"/>
      <c r="D557" s="113"/>
    </row>
    <row r="558">
      <c r="A558" s="111" t="s">
        <v>6</v>
      </c>
      <c r="B558" s="111" t="s">
        <v>341</v>
      </c>
      <c r="C558" s="113"/>
      <c r="D558" s="113"/>
    </row>
    <row r="559">
      <c r="A559" s="111" t="s">
        <v>6</v>
      </c>
      <c r="B559" s="111" t="s">
        <v>342</v>
      </c>
      <c r="C559" s="113"/>
      <c r="D559" s="113"/>
    </row>
    <row r="560">
      <c r="A560" s="111" t="s">
        <v>6</v>
      </c>
      <c r="B560" s="111" t="s">
        <v>343</v>
      </c>
      <c r="C560" s="113"/>
      <c r="D560" s="113"/>
    </row>
    <row r="561">
      <c r="A561" s="111" t="s">
        <v>6</v>
      </c>
      <c r="B561" s="111" t="s">
        <v>344</v>
      </c>
      <c r="C561" s="113"/>
      <c r="D561" s="113"/>
    </row>
    <row r="562">
      <c r="A562" s="111" t="s">
        <v>6</v>
      </c>
      <c r="B562" s="111" t="s">
        <v>345</v>
      </c>
      <c r="C562" s="113"/>
      <c r="D562" s="113"/>
    </row>
    <row r="563">
      <c r="A563" s="111" t="s">
        <v>6</v>
      </c>
      <c r="B563" s="111" t="s">
        <v>346</v>
      </c>
      <c r="C563" s="113"/>
      <c r="D563" s="113"/>
    </row>
    <row r="564">
      <c r="A564" s="111" t="s">
        <v>6</v>
      </c>
      <c r="B564" s="111" t="s">
        <v>347</v>
      </c>
      <c r="C564" s="113"/>
      <c r="D564" s="113"/>
    </row>
    <row r="565">
      <c r="A565" s="111" t="s">
        <v>6</v>
      </c>
      <c r="B565" s="111" t="s">
        <v>348</v>
      </c>
      <c r="C565" s="113"/>
      <c r="D565" s="113"/>
    </row>
    <row r="566">
      <c r="A566" s="111" t="s">
        <v>6</v>
      </c>
      <c r="B566" s="111" t="s">
        <v>349</v>
      </c>
      <c r="C566" s="113"/>
      <c r="D566" s="113"/>
    </row>
    <row r="567">
      <c r="A567" s="111" t="s">
        <v>6</v>
      </c>
      <c r="B567" s="111" t="s">
        <v>350</v>
      </c>
      <c r="C567" s="113"/>
      <c r="D567" s="113"/>
    </row>
    <row r="568">
      <c r="A568" s="111" t="s">
        <v>6</v>
      </c>
      <c r="B568" s="111" t="s">
        <v>351</v>
      </c>
      <c r="C568" s="113"/>
      <c r="D568" s="113"/>
    </row>
    <row r="569">
      <c r="A569" s="111" t="s">
        <v>6</v>
      </c>
      <c r="B569" s="111" t="s">
        <v>352</v>
      </c>
      <c r="C569" s="113"/>
      <c r="D569" s="113"/>
    </row>
    <row r="570">
      <c r="A570" s="111" t="s">
        <v>6</v>
      </c>
      <c r="B570" s="111" t="s">
        <v>353</v>
      </c>
      <c r="C570" s="113"/>
      <c r="D570" s="113"/>
    </row>
    <row r="571">
      <c r="A571" s="111" t="s">
        <v>6</v>
      </c>
      <c r="B571" s="111" t="s">
        <v>354</v>
      </c>
      <c r="C571" s="113"/>
      <c r="D571" s="113"/>
    </row>
    <row r="572">
      <c r="A572" s="111" t="s">
        <v>6</v>
      </c>
      <c r="B572" s="111" t="s">
        <v>355</v>
      </c>
      <c r="C572" s="113"/>
      <c r="D572" s="113"/>
    </row>
    <row r="573">
      <c r="A573" s="111" t="s">
        <v>6</v>
      </c>
      <c r="B573" s="111" t="s">
        <v>356</v>
      </c>
      <c r="C573" s="113"/>
      <c r="D573" s="113"/>
    </row>
    <row r="574">
      <c r="A574" s="111" t="s">
        <v>6</v>
      </c>
      <c r="B574" s="111" t="s">
        <v>357</v>
      </c>
      <c r="C574" s="113"/>
      <c r="D574" s="113"/>
    </row>
    <row r="575">
      <c r="A575" s="111" t="s">
        <v>6</v>
      </c>
      <c r="B575" s="111" t="s">
        <v>358</v>
      </c>
      <c r="C575" s="113"/>
      <c r="D575" s="113"/>
    </row>
    <row r="576">
      <c r="A576" s="111" t="s">
        <v>6</v>
      </c>
      <c r="B576" s="111" t="s">
        <v>359</v>
      </c>
      <c r="C576" s="113"/>
      <c r="D576" s="113"/>
    </row>
    <row r="577">
      <c r="A577" s="111" t="s">
        <v>6</v>
      </c>
      <c r="B577" s="111" t="s">
        <v>360</v>
      </c>
      <c r="C577" s="113"/>
      <c r="D577" s="113"/>
    </row>
    <row r="578">
      <c r="A578" s="111" t="s">
        <v>6</v>
      </c>
      <c r="B578" s="111" t="s">
        <v>361</v>
      </c>
      <c r="C578" s="113"/>
      <c r="D578" s="113"/>
    </row>
    <row r="579">
      <c r="A579" s="111" t="s">
        <v>6</v>
      </c>
      <c r="B579" s="111" t="s">
        <v>362</v>
      </c>
      <c r="C579" s="113"/>
      <c r="D579" s="113"/>
    </row>
    <row r="580">
      <c r="A580" s="111" t="s">
        <v>6</v>
      </c>
      <c r="B580" s="111" t="s">
        <v>363</v>
      </c>
      <c r="C580" s="113"/>
      <c r="D580" s="113"/>
    </row>
    <row r="581">
      <c r="A581" s="111" t="s">
        <v>6</v>
      </c>
      <c r="B581" s="111" t="s">
        <v>364</v>
      </c>
      <c r="C581" s="113"/>
      <c r="D581" s="113"/>
    </row>
    <row r="582">
      <c r="A582" s="111" t="s">
        <v>6</v>
      </c>
      <c r="B582" s="111" t="s">
        <v>365</v>
      </c>
      <c r="C582" s="113"/>
      <c r="D582" s="113"/>
    </row>
    <row r="583">
      <c r="A583" s="111" t="s">
        <v>6</v>
      </c>
      <c r="B583" s="111" t="s">
        <v>366</v>
      </c>
      <c r="C583" s="113"/>
      <c r="D583" s="113"/>
    </row>
    <row r="584">
      <c r="A584" s="111" t="s">
        <v>6</v>
      </c>
      <c r="B584" s="111" t="s">
        <v>367</v>
      </c>
      <c r="C584" s="113"/>
      <c r="D584" s="113"/>
    </row>
    <row r="585">
      <c r="A585" s="111" t="s">
        <v>6</v>
      </c>
      <c r="B585" s="111" t="s">
        <v>368</v>
      </c>
      <c r="C585" s="113"/>
      <c r="D585" s="113"/>
    </row>
    <row r="586">
      <c r="A586" s="111" t="s">
        <v>6</v>
      </c>
      <c r="B586" s="111" t="s">
        <v>369</v>
      </c>
      <c r="C586" s="113"/>
      <c r="D586" s="113"/>
    </row>
    <row r="587">
      <c r="A587" s="111" t="s">
        <v>6</v>
      </c>
      <c r="B587" s="111" t="s">
        <v>370</v>
      </c>
      <c r="C587" s="113"/>
      <c r="D587" s="113"/>
    </row>
    <row r="588">
      <c r="A588" s="111" t="s">
        <v>6</v>
      </c>
      <c r="B588" s="111" t="s">
        <v>371</v>
      </c>
      <c r="C588" s="113"/>
      <c r="D588" s="113"/>
    </row>
    <row r="589">
      <c r="A589" s="111" t="s">
        <v>6</v>
      </c>
      <c r="B589" s="111" t="s">
        <v>372</v>
      </c>
      <c r="C589" s="113"/>
      <c r="D589" s="113"/>
    </row>
    <row r="590">
      <c r="A590" s="111" t="s">
        <v>6</v>
      </c>
      <c r="B590" s="111" t="s">
        <v>373</v>
      </c>
      <c r="C590" s="113"/>
      <c r="D590" s="113"/>
    </row>
    <row r="591">
      <c r="A591" s="111" t="s">
        <v>6</v>
      </c>
      <c r="B591" s="111" t="s">
        <v>374</v>
      </c>
      <c r="C591" s="113"/>
      <c r="D591" s="113"/>
    </row>
    <row r="592">
      <c r="A592" s="111" t="s">
        <v>6</v>
      </c>
      <c r="B592" s="111" t="s">
        <v>375</v>
      </c>
      <c r="C592" s="113"/>
      <c r="D592" s="113"/>
    </row>
    <row r="593">
      <c r="A593" s="111" t="s">
        <v>6</v>
      </c>
      <c r="B593" s="111" t="s">
        <v>376</v>
      </c>
      <c r="C593" s="113"/>
      <c r="D593" s="113"/>
    </row>
    <row r="594">
      <c r="A594" s="111" t="s">
        <v>6</v>
      </c>
      <c r="B594" s="111" t="s">
        <v>377</v>
      </c>
      <c r="C594" s="113"/>
      <c r="D594" s="113"/>
    </row>
    <row r="595">
      <c r="A595" s="111" t="s">
        <v>6</v>
      </c>
      <c r="B595" s="111" t="s">
        <v>378</v>
      </c>
      <c r="C595" s="113"/>
      <c r="D595" s="113"/>
    </row>
    <row r="596">
      <c r="A596" s="111" t="s">
        <v>6</v>
      </c>
      <c r="B596" s="111" t="s">
        <v>379</v>
      </c>
      <c r="C596" s="113"/>
      <c r="D596" s="113"/>
    </row>
    <row r="597">
      <c r="A597" s="111" t="s">
        <v>6</v>
      </c>
      <c r="B597" s="111" t="s">
        <v>380</v>
      </c>
      <c r="C597" s="113"/>
      <c r="D597" s="113"/>
    </row>
    <row r="598">
      <c r="A598" s="111" t="s">
        <v>6</v>
      </c>
      <c r="B598" s="111" t="s">
        <v>381</v>
      </c>
      <c r="C598" s="113"/>
      <c r="D598" s="113"/>
    </row>
    <row r="599">
      <c r="A599" s="111" t="s">
        <v>6</v>
      </c>
      <c r="B599" s="111" t="s">
        <v>382</v>
      </c>
      <c r="C599" s="113"/>
      <c r="D599" s="113"/>
    </row>
    <row r="600">
      <c r="A600" s="111" t="s">
        <v>6</v>
      </c>
      <c r="B600" s="111" t="s">
        <v>383</v>
      </c>
      <c r="C600" s="113"/>
      <c r="D600" s="113"/>
    </row>
    <row r="601">
      <c r="A601" s="111" t="s">
        <v>6</v>
      </c>
      <c r="B601" s="111" t="s">
        <v>384</v>
      </c>
      <c r="C601" s="113"/>
      <c r="D601" s="113"/>
    </row>
    <row r="602">
      <c r="A602" s="111" t="s">
        <v>6</v>
      </c>
      <c r="B602" s="111" t="s">
        <v>385</v>
      </c>
      <c r="C602" s="113"/>
      <c r="D602" s="113"/>
    </row>
    <row r="603">
      <c r="A603" s="111" t="s">
        <v>6</v>
      </c>
      <c r="B603" s="111" t="s">
        <v>386</v>
      </c>
      <c r="C603" s="113"/>
      <c r="D603" s="113"/>
    </row>
    <row r="604">
      <c r="A604" s="111" t="s">
        <v>6</v>
      </c>
      <c r="B604" s="111" t="s">
        <v>387</v>
      </c>
      <c r="C604" s="113"/>
      <c r="D604" s="113"/>
    </row>
    <row r="605">
      <c r="A605" s="111" t="s">
        <v>6</v>
      </c>
      <c r="B605" s="111" t="s">
        <v>388</v>
      </c>
      <c r="C605" s="113"/>
      <c r="D605" s="113"/>
    </row>
    <row r="606">
      <c r="A606" s="111" t="s">
        <v>6</v>
      </c>
      <c r="B606" s="111" t="s">
        <v>389</v>
      </c>
      <c r="C606" s="113"/>
      <c r="D606" s="113"/>
    </row>
    <row r="607">
      <c r="A607" s="111" t="s">
        <v>6</v>
      </c>
      <c r="B607" s="111" t="s">
        <v>390</v>
      </c>
      <c r="C607" s="113"/>
      <c r="D607" s="113"/>
    </row>
    <row r="608">
      <c r="A608" s="111" t="s">
        <v>6</v>
      </c>
      <c r="B608" s="111" t="s">
        <v>391</v>
      </c>
      <c r="C608" s="113"/>
      <c r="D608" s="113"/>
    </row>
    <row r="609">
      <c r="A609" s="111" t="s">
        <v>6</v>
      </c>
      <c r="B609" s="111" t="s">
        <v>392</v>
      </c>
      <c r="C609" s="113"/>
      <c r="D609" s="113"/>
    </row>
    <row r="610">
      <c r="A610" s="111" t="s">
        <v>6</v>
      </c>
      <c r="B610" s="111" t="s">
        <v>393</v>
      </c>
      <c r="C610" s="113"/>
      <c r="D610" s="113"/>
    </row>
    <row r="611">
      <c r="A611" s="111" t="s">
        <v>6</v>
      </c>
      <c r="B611" s="111" t="s">
        <v>394</v>
      </c>
      <c r="C611" s="113"/>
      <c r="D611" s="113"/>
    </row>
    <row r="612">
      <c r="A612" s="111" t="s">
        <v>6</v>
      </c>
      <c r="B612" s="111" t="s">
        <v>395</v>
      </c>
      <c r="C612" s="113"/>
      <c r="D612" s="113"/>
    </row>
    <row r="613">
      <c r="A613" s="111" t="s">
        <v>6</v>
      </c>
      <c r="B613" s="111" t="s">
        <v>396</v>
      </c>
      <c r="C613" s="113"/>
      <c r="D613" s="113"/>
    </row>
    <row r="614">
      <c r="A614" s="111" t="s">
        <v>6</v>
      </c>
      <c r="B614" s="111" t="s">
        <v>397</v>
      </c>
      <c r="C614" s="113"/>
      <c r="D614" s="113"/>
    </row>
    <row r="615">
      <c r="A615" s="111" t="s">
        <v>6</v>
      </c>
      <c r="B615" s="111" t="s">
        <v>398</v>
      </c>
      <c r="C615" s="113"/>
      <c r="D615" s="113"/>
    </row>
    <row r="616">
      <c r="A616" s="111" t="s">
        <v>6</v>
      </c>
      <c r="B616" s="111" t="s">
        <v>399</v>
      </c>
      <c r="C616" s="113"/>
      <c r="D616" s="113"/>
    </row>
    <row r="617">
      <c r="A617" s="111" t="s">
        <v>6</v>
      </c>
      <c r="B617" s="111" t="s">
        <v>400</v>
      </c>
      <c r="C617" s="113"/>
      <c r="D617" s="113"/>
    </row>
    <row r="618">
      <c r="A618" s="111" t="s">
        <v>6</v>
      </c>
      <c r="B618" s="111" t="s">
        <v>401</v>
      </c>
      <c r="C618" s="113"/>
      <c r="D618" s="113"/>
    </row>
    <row r="619">
      <c r="A619" s="111" t="s">
        <v>6</v>
      </c>
      <c r="B619" s="111" t="s">
        <v>402</v>
      </c>
      <c r="C619" s="113"/>
      <c r="D619" s="113"/>
    </row>
    <row r="620">
      <c r="A620" s="111" t="s">
        <v>6</v>
      </c>
      <c r="B620" s="111" t="s">
        <v>403</v>
      </c>
      <c r="C620" s="113"/>
      <c r="D620" s="113"/>
      <c r="E620" s="107"/>
    </row>
    <row r="621">
      <c r="A621" s="111" t="s">
        <v>6</v>
      </c>
      <c r="B621" s="111" t="s">
        <v>404</v>
      </c>
      <c r="C621" s="113"/>
      <c r="D621" s="113"/>
      <c r="E621" s="107"/>
    </row>
    <row r="622">
      <c r="A622" s="111" t="s">
        <v>6</v>
      </c>
      <c r="B622" s="111" t="s">
        <v>405</v>
      </c>
      <c r="C622" s="113"/>
      <c r="D622" s="113"/>
      <c r="E622" s="107"/>
    </row>
    <row r="623">
      <c r="A623" s="111" t="s">
        <v>6</v>
      </c>
      <c r="B623" s="111" t="s">
        <v>406</v>
      </c>
      <c r="C623" s="113"/>
      <c r="D623" s="117"/>
      <c r="E623" s="107"/>
    </row>
    <row r="624">
      <c r="A624" s="111" t="s">
        <v>6</v>
      </c>
      <c r="B624" s="111" t="s">
        <v>407</v>
      </c>
      <c r="C624" s="113"/>
      <c r="D624" s="117"/>
      <c r="E624" s="107"/>
    </row>
    <row r="625">
      <c r="A625" s="111" t="s">
        <v>6</v>
      </c>
      <c r="B625" s="111" t="s">
        <v>408</v>
      </c>
      <c r="C625" s="113"/>
      <c r="D625" s="117"/>
      <c r="E625" s="107"/>
    </row>
    <row r="626">
      <c r="A626" s="111" t="s">
        <v>6</v>
      </c>
      <c r="B626" s="111" t="s">
        <v>409</v>
      </c>
      <c r="C626" s="113"/>
      <c r="D626" s="117"/>
      <c r="E626" s="107"/>
    </row>
    <row r="627">
      <c r="A627" s="111" t="s">
        <v>6</v>
      </c>
      <c r="B627" s="111" t="s">
        <v>410</v>
      </c>
      <c r="C627" s="117">
        <v>0.43</v>
      </c>
      <c r="D627" s="117">
        <v>-0.03</v>
      </c>
      <c r="E627" s="107">
        <v>134.0</v>
      </c>
    </row>
    <row r="628">
      <c r="A628" s="111" t="s">
        <v>6</v>
      </c>
      <c r="B628" s="111" t="s">
        <v>411</v>
      </c>
      <c r="C628" s="117">
        <v>0.37</v>
      </c>
      <c r="D628" s="117">
        <v>-0.02</v>
      </c>
      <c r="E628" s="107">
        <v>159.0</v>
      </c>
    </row>
    <row r="629">
      <c r="A629" s="111" t="s">
        <v>6</v>
      </c>
      <c r="B629" s="111" t="s">
        <v>412</v>
      </c>
      <c r="C629" s="117">
        <v>0.35</v>
      </c>
      <c r="D629" s="117">
        <v>-0.08</v>
      </c>
      <c r="E629" s="107">
        <v>179.0</v>
      </c>
    </row>
    <row r="630">
      <c r="A630" s="111" t="s">
        <v>6</v>
      </c>
      <c r="B630" s="111" t="s">
        <v>413</v>
      </c>
      <c r="C630" s="117">
        <v>0.45</v>
      </c>
      <c r="D630" s="117">
        <v>-0.08</v>
      </c>
      <c r="E630" s="107">
        <v>247.0</v>
      </c>
    </row>
    <row r="631">
      <c r="A631" s="111" t="s">
        <v>6</v>
      </c>
      <c r="B631" s="111" t="s">
        <v>414</v>
      </c>
      <c r="C631" s="117">
        <v>0.41</v>
      </c>
      <c r="D631" s="117">
        <v>-0.06</v>
      </c>
      <c r="E631" s="107">
        <v>169.0</v>
      </c>
    </row>
    <row r="632">
      <c r="A632" s="111" t="s">
        <v>6</v>
      </c>
      <c r="B632" s="111" t="s">
        <v>415</v>
      </c>
      <c r="C632" s="117">
        <v>0.53</v>
      </c>
      <c r="D632" s="117">
        <v>-0.05</v>
      </c>
      <c r="E632" s="107">
        <v>268.0</v>
      </c>
    </row>
    <row r="633">
      <c r="A633" s="111" t="s">
        <v>6</v>
      </c>
      <c r="B633" s="111" t="s">
        <v>416</v>
      </c>
      <c r="C633" s="117">
        <v>0.61</v>
      </c>
      <c r="D633" s="117">
        <v>0.02</v>
      </c>
      <c r="E633" s="107">
        <v>298.0</v>
      </c>
    </row>
    <row r="634">
      <c r="A634" s="111" t="s">
        <v>6</v>
      </c>
      <c r="B634" s="111" t="s">
        <v>417</v>
      </c>
      <c r="C634" s="117">
        <v>0.44</v>
      </c>
      <c r="D634" s="117">
        <v>0.0</v>
      </c>
      <c r="E634" s="107">
        <v>288.0</v>
      </c>
    </row>
    <row r="635">
      <c r="A635" s="111" t="s">
        <v>6</v>
      </c>
      <c r="B635" s="111" t="s">
        <v>418</v>
      </c>
      <c r="C635" s="117">
        <v>0.4</v>
      </c>
      <c r="D635" s="117">
        <v>-0.02</v>
      </c>
      <c r="E635" s="107">
        <v>182.0</v>
      </c>
    </row>
    <row r="636">
      <c r="A636" s="111" t="s">
        <v>6</v>
      </c>
      <c r="B636" s="111" t="s">
        <v>419</v>
      </c>
      <c r="C636" s="117">
        <v>0.22</v>
      </c>
      <c r="D636" s="117">
        <v>-0.06</v>
      </c>
      <c r="E636" s="107">
        <v>259.0</v>
      </c>
    </row>
    <row r="637">
      <c r="A637" s="111" t="s">
        <v>6</v>
      </c>
      <c r="B637" s="111" t="s">
        <v>420</v>
      </c>
      <c r="C637" s="117">
        <v>0.0</v>
      </c>
      <c r="D637" s="117">
        <v>-0.09</v>
      </c>
      <c r="E637" s="107">
        <v>235.0</v>
      </c>
    </row>
    <row r="638">
      <c r="A638" s="111" t="s">
        <v>6</v>
      </c>
      <c r="B638" s="111" t="s">
        <v>421</v>
      </c>
      <c r="C638" s="117">
        <v>-0.07</v>
      </c>
      <c r="D638" s="117">
        <v>-0.06</v>
      </c>
      <c r="E638" s="107">
        <v>254.0</v>
      </c>
    </row>
    <row r="639">
      <c r="A639" s="111" t="s">
        <v>6</v>
      </c>
      <c r="B639" s="111" t="s">
        <v>422</v>
      </c>
      <c r="C639" s="117">
        <v>-0.11</v>
      </c>
      <c r="D639" s="117">
        <v>-0.01</v>
      </c>
      <c r="E639" s="107">
        <v>167.0</v>
      </c>
    </row>
    <row r="640">
      <c r="A640" s="111" t="s">
        <v>6</v>
      </c>
      <c r="B640" s="111" t="s">
        <v>423</v>
      </c>
      <c r="C640" s="117">
        <v>-0.15</v>
      </c>
      <c r="D640" s="117">
        <v>0.03</v>
      </c>
      <c r="E640" s="107">
        <v>209.0</v>
      </c>
    </row>
    <row r="641">
      <c r="A641" s="111" t="s">
        <v>6</v>
      </c>
      <c r="B641" s="111" t="s">
        <v>424</v>
      </c>
      <c r="C641" s="117">
        <v>-0.11</v>
      </c>
      <c r="D641" s="117">
        <v>0.07</v>
      </c>
      <c r="E641" s="107">
        <v>224.0</v>
      </c>
    </row>
    <row r="642">
      <c r="A642" s="111" t="s">
        <v>6</v>
      </c>
      <c r="B642" s="111" t="s">
        <v>425</v>
      </c>
      <c r="C642" s="117">
        <v>-0.08</v>
      </c>
      <c r="D642" s="117">
        <v>0.06</v>
      </c>
      <c r="E642" s="107">
        <v>251.0</v>
      </c>
    </row>
    <row r="643">
      <c r="A643" s="111" t="s">
        <v>6</v>
      </c>
      <c r="B643" s="111" t="s">
        <v>426</v>
      </c>
      <c r="C643" s="117">
        <v>-0.08</v>
      </c>
      <c r="D643" s="117">
        <v>0.05</v>
      </c>
      <c r="E643" s="107">
        <v>156.0</v>
      </c>
    </row>
    <row r="644">
      <c r="A644" s="111" t="s">
        <v>6</v>
      </c>
      <c r="B644" s="111" t="s">
        <v>427</v>
      </c>
      <c r="C644" s="117">
        <v>-0.11</v>
      </c>
      <c r="D644" s="117">
        <v>-0.35</v>
      </c>
      <c r="E644" s="107">
        <v>140.0</v>
      </c>
    </row>
    <row r="645">
      <c r="A645" s="111" t="s">
        <v>6</v>
      </c>
      <c r="B645" s="111" t="s">
        <v>428</v>
      </c>
      <c r="C645" s="117">
        <v>-0.3</v>
      </c>
      <c r="D645" s="117">
        <v>-0.5</v>
      </c>
      <c r="E645" s="107">
        <v>16.0</v>
      </c>
    </row>
    <row r="646">
      <c r="A646" s="111" t="s">
        <v>6</v>
      </c>
      <c r="B646" s="111" t="s">
        <v>429</v>
      </c>
      <c r="C646" s="117">
        <v>-0.3</v>
      </c>
      <c r="D646" s="117">
        <v>-0.5</v>
      </c>
      <c r="E646" s="107">
        <v>61.0</v>
      </c>
    </row>
    <row r="647">
      <c r="A647" s="111" t="s">
        <v>6</v>
      </c>
      <c r="B647" s="111" t="s">
        <v>430</v>
      </c>
      <c r="C647" s="117">
        <v>-0.3</v>
      </c>
      <c r="D647" s="117">
        <v>-0.5</v>
      </c>
      <c r="E647" s="107">
        <v>32.0</v>
      </c>
    </row>
    <row r="648">
      <c r="A648" s="111" t="s">
        <v>6</v>
      </c>
      <c r="B648" s="111" t="s">
        <v>431</v>
      </c>
      <c r="C648" s="117">
        <v>-0.3</v>
      </c>
      <c r="D648" s="117">
        <v>-0.5</v>
      </c>
      <c r="E648" s="107">
        <v>38.0</v>
      </c>
    </row>
    <row r="649">
      <c r="A649" s="111" t="s">
        <v>6</v>
      </c>
      <c r="B649" s="111" t="s">
        <v>432</v>
      </c>
      <c r="C649" s="117">
        <v>0.66</v>
      </c>
      <c r="D649" s="117">
        <v>-0.14</v>
      </c>
      <c r="E649" s="107">
        <v>95.0</v>
      </c>
    </row>
    <row r="650">
      <c r="A650" s="111" t="s">
        <v>6</v>
      </c>
      <c r="B650" s="111" t="s">
        <v>433</v>
      </c>
      <c r="C650" s="117">
        <v>1.0</v>
      </c>
      <c r="D650" s="117">
        <v>-0.11</v>
      </c>
      <c r="E650" s="107">
        <v>139.0</v>
      </c>
    </row>
    <row r="651">
      <c r="A651" s="111" t="s">
        <v>6</v>
      </c>
      <c r="B651" s="111" t="s">
        <v>434</v>
      </c>
      <c r="C651" s="117">
        <v>1.0</v>
      </c>
      <c r="D651" s="117">
        <v>0.03</v>
      </c>
      <c r="E651" s="107">
        <v>89.0</v>
      </c>
    </row>
    <row r="652">
      <c r="A652" s="111" t="s">
        <v>6</v>
      </c>
      <c r="B652" s="111" t="s">
        <v>435</v>
      </c>
      <c r="C652" s="117">
        <v>1.0</v>
      </c>
      <c r="D652" s="117">
        <v>0.07</v>
      </c>
      <c r="E652" s="107">
        <v>102.0</v>
      </c>
    </row>
    <row r="653">
      <c r="A653" s="111" t="s">
        <v>6</v>
      </c>
      <c r="B653" s="111" t="s">
        <v>436</v>
      </c>
      <c r="C653" s="117">
        <v>1.0</v>
      </c>
      <c r="D653" s="117">
        <v>-0.03</v>
      </c>
      <c r="E653" s="107">
        <v>145.0</v>
      </c>
    </row>
    <row r="654">
      <c r="A654" s="111" t="s">
        <v>6</v>
      </c>
      <c r="B654" s="111" t="s">
        <v>437</v>
      </c>
      <c r="C654" s="117">
        <v>1.0</v>
      </c>
      <c r="D654" s="117">
        <v>-0.14</v>
      </c>
      <c r="E654" s="107">
        <v>184.0</v>
      </c>
    </row>
    <row r="655">
      <c r="A655" s="111" t="s">
        <v>6</v>
      </c>
      <c r="B655" s="111" t="s">
        <v>438</v>
      </c>
      <c r="C655" s="117">
        <v>0.67</v>
      </c>
      <c r="D655" s="117">
        <v>-0.17</v>
      </c>
      <c r="E655" s="107">
        <v>105.0</v>
      </c>
    </row>
    <row r="656">
      <c r="A656" s="111" t="s">
        <v>6</v>
      </c>
      <c r="B656" s="111" t="s">
        <v>439</v>
      </c>
      <c r="C656" s="117">
        <v>0.28</v>
      </c>
      <c r="D656" s="117">
        <v>-0.13</v>
      </c>
      <c r="E656" s="107">
        <v>111.0</v>
      </c>
    </row>
    <row r="657">
      <c r="A657" s="111" t="s">
        <v>6</v>
      </c>
      <c r="B657" s="111" t="s">
        <v>440</v>
      </c>
      <c r="C657" s="117">
        <v>0.11</v>
      </c>
      <c r="D657" s="117">
        <v>0.0</v>
      </c>
      <c r="E657" s="107">
        <v>124.0</v>
      </c>
    </row>
    <row r="658">
      <c r="A658" s="111" t="s">
        <v>6</v>
      </c>
      <c r="B658" s="111" t="s">
        <v>441</v>
      </c>
      <c r="C658" s="117">
        <v>0.0</v>
      </c>
      <c r="D658" s="117">
        <v>-0.19</v>
      </c>
      <c r="E658" s="107">
        <v>158.0</v>
      </c>
    </row>
    <row r="659">
      <c r="A659" s="111" t="s">
        <v>6</v>
      </c>
      <c r="B659" s="111" t="s">
        <v>442</v>
      </c>
      <c r="C659" s="117">
        <v>-0.08</v>
      </c>
      <c r="D659" s="117">
        <v>-0.22</v>
      </c>
      <c r="E659" s="107">
        <v>92.0</v>
      </c>
    </row>
    <row r="660">
      <c r="A660" s="111" t="s">
        <v>6</v>
      </c>
      <c r="B660" s="111" t="s">
        <v>443</v>
      </c>
      <c r="C660" s="117">
        <v>-0.12</v>
      </c>
      <c r="D660" s="117">
        <v>-0.28</v>
      </c>
      <c r="E660" s="107">
        <v>101.0</v>
      </c>
    </row>
    <row r="661">
      <c r="A661" s="111" t="s">
        <v>6</v>
      </c>
      <c r="B661" s="111" t="s">
        <v>444</v>
      </c>
      <c r="C661" s="117">
        <v>-0.1</v>
      </c>
      <c r="D661" s="117">
        <v>-0.32</v>
      </c>
      <c r="E661" s="107">
        <v>119.0</v>
      </c>
    </row>
    <row r="662">
      <c r="A662" s="111" t="s">
        <v>7</v>
      </c>
      <c r="B662" s="111" t="s">
        <v>335</v>
      </c>
      <c r="C662" s="113"/>
      <c r="D662" s="113"/>
    </row>
    <row r="663">
      <c r="A663" s="111" t="s">
        <v>7</v>
      </c>
      <c r="B663" s="111" t="s">
        <v>336</v>
      </c>
      <c r="C663" s="113"/>
      <c r="D663" s="113"/>
    </row>
    <row r="664">
      <c r="A664" s="111" t="s">
        <v>7</v>
      </c>
      <c r="B664" s="111" t="s">
        <v>337</v>
      </c>
      <c r="C664" s="113"/>
      <c r="D664" s="113"/>
    </row>
    <row r="665">
      <c r="A665" s="111" t="s">
        <v>7</v>
      </c>
      <c r="B665" s="111" t="s">
        <v>338</v>
      </c>
      <c r="C665" s="113"/>
      <c r="D665" s="113"/>
    </row>
    <row r="666">
      <c r="A666" s="111" t="s">
        <v>7</v>
      </c>
      <c r="B666" s="111" t="s">
        <v>339</v>
      </c>
      <c r="C666" s="113"/>
      <c r="D666" s="113"/>
    </row>
    <row r="667">
      <c r="A667" s="111" t="s">
        <v>7</v>
      </c>
      <c r="B667" s="111" t="s">
        <v>340</v>
      </c>
      <c r="C667" s="113"/>
      <c r="D667" s="113"/>
    </row>
    <row r="668">
      <c r="A668" s="111" t="s">
        <v>7</v>
      </c>
      <c r="B668" s="111" t="s">
        <v>341</v>
      </c>
      <c r="C668" s="113"/>
      <c r="D668" s="113"/>
    </row>
    <row r="669">
      <c r="A669" s="111" t="s">
        <v>7</v>
      </c>
      <c r="B669" s="111" t="s">
        <v>342</v>
      </c>
      <c r="C669" s="113"/>
      <c r="D669" s="113"/>
    </row>
    <row r="670">
      <c r="A670" s="111" t="s">
        <v>7</v>
      </c>
      <c r="B670" s="111" t="s">
        <v>343</v>
      </c>
      <c r="C670" s="113"/>
      <c r="D670" s="113"/>
    </row>
    <row r="671">
      <c r="A671" s="111" t="s">
        <v>7</v>
      </c>
      <c r="B671" s="111" t="s">
        <v>344</v>
      </c>
      <c r="C671" s="113"/>
      <c r="D671" s="113"/>
    </row>
    <row r="672">
      <c r="A672" s="111" t="s">
        <v>7</v>
      </c>
      <c r="B672" s="111" t="s">
        <v>345</v>
      </c>
      <c r="C672" s="113"/>
      <c r="D672" s="113"/>
    </row>
    <row r="673">
      <c r="A673" s="111" t="s">
        <v>7</v>
      </c>
      <c r="B673" s="111" t="s">
        <v>346</v>
      </c>
      <c r="C673" s="113"/>
      <c r="D673" s="113"/>
    </row>
    <row r="674">
      <c r="A674" s="111" t="s">
        <v>7</v>
      </c>
      <c r="B674" s="111" t="s">
        <v>347</v>
      </c>
      <c r="C674" s="113"/>
      <c r="D674" s="113"/>
    </row>
    <row r="675">
      <c r="A675" s="111" t="s">
        <v>7</v>
      </c>
      <c r="B675" s="111" t="s">
        <v>348</v>
      </c>
      <c r="C675" s="113"/>
      <c r="D675" s="113"/>
    </row>
    <row r="676">
      <c r="A676" s="111" t="s">
        <v>7</v>
      </c>
      <c r="B676" s="111" t="s">
        <v>349</v>
      </c>
      <c r="C676" s="113"/>
      <c r="D676" s="113"/>
    </row>
    <row r="677">
      <c r="A677" s="111" t="s">
        <v>7</v>
      </c>
      <c r="B677" s="111" t="s">
        <v>350</v>
      </c>
      <c r="C677" s="113"/>
      <c r="D677" s="113"/>
    </row>
    <row r="678">
      <c r="A678" s="111" t="s">
        <v>7</v>
      </c>
      <c r="B678" s="111" t="s">
        <v>351</v>
      </c>
      <c r="C678" s="113"/>
      <c r="D678" s="113"/>
    </row>
    <row r="679">
      <c r="A679" s="111" t="s">
        <v>7</v>
      </c>
      <c r="B679" s="111" t="s">
        <v>352</v>
      </c>
      <c r="C679" s="113"/>
      <c r="D679" s="113"/>
    </row>
    <row r="680">
      <c r="A680" s="111" t="s">
        <v>7</v>
      </c>
      <c r="B680" s="111" t="s">
        <v>353</v>
      </c>
      <c r="C680" s="113"/>
      <c r="D680" s="113"/>
    </row>
    <row r="681">
      <c r="A681" s="111" t="s">
        <v>7</v>
      </c>
      <c r="B681" s="111" t="s">
        <v>354</v>
      </c>
      <c r="C681" s="113"/>
      <c r="D681" s="113"/>
    </row>
    <row r="682">
      <c r="A682" s="111" t="s">
        <v>7</v>
      </c>
      <c r="B682" s="111" t="s">
        <v>355</v>
      </c>
      <c r="C682" s="113"/>
      <c r="D682" s="113"/>
    </row>
    <row r="683">
      <c r="A683" s="111" t="s">
        <v>7</v>
      </c>
      <c r="B683" s="111" t="s">
        <v>356</v>
      </c>
      <c r="C683" s="113"/>
      <c r="D683" s="113"/>
    </row>
    <row r="684">
      <c r="A684" s="111" t="s">
        <v>7</v>
      </c>
      <c r="B684" s="111" t="s">
        <v>357</v>
      </c>
      <c r="C684" s="113"/>
      <c r="D684" s="113"/>
    </row>
    <row r="685">
      <c r="A685" s="111" t="s">
        <v>7</v>
      </c>
      <c r="B685" s="111" t="s">
        <v>358</v>
      </c>
      <c r="C685" s="113"/>
      <c r="D685" s="113"/>
    </row>
    <row r="686">
      <c r="A686" s="111" t="s">
        <v>7</v>
      </c>
      <c r="B686" s="111" t="s">
        <v>359</v>
      </c>
      <c r="C686" s="113"/>
      <c r="D686" s="113"/>
    </row>
    <row r="687">
      <c r="A687" s="111" t="s">
        <v>7</v>
      </c>
      <c r="B687" s="111" t="s">
        <v>360</v>
      </c>
      <c r="C687" s="113"/>
      <c r="D687" s="113"/>
    </row>
    <row r="688">
      <c r="A688" s="111" t="s">
        <v>7</v>
      </c>
      <c r="B688" s="111" t="s">
        <v>361</v>
      </c>
      <c r="C688" s="113"/>
      <c r="D688" s="113"/>
    </row>
    <row r="689">
      <c r="A689" s="111" t="s">
        <v>7</v>
      </c>
      <c r="B689" s="111" t="s">
        <v>362</v>
      </c>
      <c r="C689" s="113"/>
      <c r="D689" s="113"/>
    </row>
    <row r="690">
      <c r="A690" s="111" t="s">
        <v>7</v>
      </c>
      <c r="B690" s="111" t="s">
        <v>363</v>
      </c>
      <c r="C690" s="113"/>
      <c r="D690" s="113"/>
    </row>
    <row r="691">
      <c r="A691" s="111" t="s">
        <v>7</v>
      </c>
      <c r="B691" s="111" t="s">
        <v>364</v>
      </c>
      <c r="C691" s="113"/>
      <c r="D691" s="113"/>
    </row>
    <row r="692">
      <c r="A692" s="111" t="s">
        <v>7</v>
      </c>
      <c r="B692" s="111" t="s">
        <v>365</v>
      </c>
      <c r="C692" s="113"/>
      <c r="D692" s="113"/>
    </row>
    <row r="693">
      <c r="A693" s="111" t="s">
        <v>7</v>
      </c>
      <c r="B693" s="111" t="s">
        <v>366</v>
      </c>
      <c r="C693" s="113"/>
      <c r="D693" s="113"/>
    </row>
    <row r="694">
      <c r="A694" s="111" t="s">
        <v>7</v>
      </c>
      <c r="B694" s="111" t="s">
        <v>367</v>
      </c>
      <c r="C694" s="113"/>
      <c r="D694" s="113"/>
    </row>
    <row r="695">
      <c r="A695" s="111" t="s">
        <v>7</v>
      </c>
      <c r="B695" s="111" t="s">
        <v>368</v>
      </c>
      <c r="C695" s="113"/>
      <c r="D695" s="113"/>
    </row>
    <row r="696">
      <c r="A696" s="111" t="s">
        <v>7</v>
      </c>
      <c r="B696" s="111" t="s">
        <v>369</v>
      </c>
      <c r="C696" s="113"/>
      <c r="D696" s="113"/>
    </row>
    <row r="697">
      <c r="A697" s="111" t="s">
        <v>7</v>
      </c>
      <c r="B697" s="111" t="s">
        <v>370</v>
      </c>
      <c r="C697" s="113"/>
      <c r="D697" s="113"/>
    </row>
    <row r="698">
      <c r="A698" s="111" t="s">
        <v>7</v>
      </c>
      <c r="B698" s="111" t="s">
        <v>371</v>
      </c>
      <c r="C698" s="113"/>
      <c r="D698" s="113"/>
    </row>
    <row r="699">
      <c r="A699" s="111" t="s">
        <v>7</v>
      </c>
      <c r="B699" s="111" t="s">
        <v>372</v>
      </c>
      <c r="C699" s="113"/>
      <c r="D699" s="113"/>
    </row>
    <row r="700">
      <c r="A700" s="111" t="s">
        <v>7</v>
      </c>
      <c r="B700" s="111" t="s">
        <v>373</v>
      </c>
      <c r="C700" s="113"/>
      <c r="D700" s="113"/>
    </row>
    <row r="701">
      <c r="A701" s="111" t="s">
        <v>7</v>
      </c>
      <c r="B701" s="111" t="s">
        <v>374</v>
      </c>
      <c r="C701" s="113"/>
      <c r="D701" s="113"/>
    </row>
    <row r="702">
      <c r="A702" s="111" t="s">
        <v>7</v>
      </c>
      <c r="B702" s="111" t="s">
        <v>375</v>
      </c>
      <c r="C702" s="113"/>
      <c r="D702" s="113"/>
    </row>
    <row r="703">
      <c r="A703" s="111" t="s">
        <v>7</v>
      </c>
      <c r="B703" s="111" t="s">
        <v>376</v>
      </c>
      <c r="C703" s="113"/>
      <c r="D703" s="113"/>
    </row>
    <row r="704">
      <c r="A704" s="111" t="s">
        <v>7</v>
      </c>
      <c r="B704" s="111" t="s">
        <v>377</v>
      </c>
      <c r="C704" s="113"/>
      <c r="D704" s="113"/>
    </row>
    <row r="705">
      <c r="A705" s="111" t="s">
        <v>7</v>
      </c>
      <c r="B705" s="111" t="s">
        <v>378</v>
      </c>
      <c r="C705" s="113"/>
      <c r="D705" s="113"/>
    </row>
    <row r="706">
      <c r="A706" s="111" t="s">
        <v>7</v>
      </c>
      <c r="B706" s="111" t="s">
        <v>379</v>
      </c>
      <c r="C706" s="113"/>
      <c r="D706" s="113"/>
    </row>
    <row r="707">
      <c r="A707" s="111" t="s">
        <v>7</v>
      </c>
      <c r="B707" s="111" t="s">
        <v>380</v>
      </c>
      <c r="C707" s="113"/>
      <c r="D707" s="113"/>
    </row>
    <row r="708">
      <c r="A708" s="111" t="s">
        <v>7</v>
      </c>
      <c r="B708" s="111" t="s">
        <v>381</v>
      </c>
      <c r="C708" s="113"/>
      <c r="D708" s="113"/>
    </row>
    <row r="709">
      <c r="A709" s="111" t="s">
        <v>7</v>
      </c>
      <c r="B709" s="111" t="s">
        <v>382</v>
      </c>
      <c r="C709" s="113"/>
      <c r="D709" s="113"/>
    </row>
    <row r="710">
      <c r="A710" s="111" t="s">
        <v>7</v>
      </c>
      <c r="B710" s="111" t="s">
        <v>383</v>
      </c>
      <c r="C710" s="113"/>
      <c r="D710" s="113"/>
    </row>
    <row r="711">
      <c r="A711" s="111" t="s">
        <v>7</v>
      </c>
      <c r="B711" s="111" t="s">
        <v>384</v>
      </c>
      <c r="C711" s="113"/>
      <c r="D711" s="113"/>
    </row>
    <row r="712">
      <c r="A712" s="111" t="s">
        <v>7</v>
      </c>
      <c r="B712" s="111" t="s">
        <v>385</v>
      </c>
      <c r="C712" s="113"/>
      <c r="D712" s="113"/>
    </row>
    <row r="713">
      <c r="A713" s="111" t="s">
        <v>7</v>
      </c>
      <c r="B713" s="111" t="s">
        <v>386</v>
      </c>
      <c r="C713" s="113"/>
      <c r="D713" s="113"/>
    </row>
    <row r="714">
      <c r="A714" s="111" t="s">
        <v>7</v>
      </c>
      <c r="B714" s="111" t="s">
        <v>387</v>
      </c>
      <c r="C714" s="113"/>
      <c r="D714" s="113"/>
    </row>
    <row r="715">
      <c r="A715" s="111" t="s">
        <v>7</v>
      </c>
      <c r="B715" s="111" t="s">
        <v>388</v>
      </c>
      <c r="C715" s="113"/>
      <c r="D715" s="113"/>
    </row>
    <row r="716">
      <c r="A716" s="111" t="s">
        <v>7</v>
      </c>
      <c r="B716" s="111" t="s">
        <v>389</v>
      </c>
      <c r="C716" s="113"/>
      <c r="D716" s="113"/>
    </row>
    <row r="717">
      <c r="A717" s="111" t="s">
        <v>7</v>
      </c>
      <c r="B717" s="111" t="s">
        <v>390</v>
      </c>
      <c r="C717" s="113"/>
      <c r="D717" s="113"/>
    </row>
    <row r="718">
      <c r="A718" s="111" t="s">
        <v>7</v>
      </c>
      <c r="B718" s="111" t="s">
        <v>391</v>
      </c>
      <c r="C718" s="113"/>
      <c r="D718" s="113"/>
    </row>
    <row r="719">
      <c r="A719" s="111" t="s">
        <v>7</v>
      </c>
      <c r="B719" s="111" t="s">
        <v>392</v>
      </c>
      <c r="C719" s="113"/>
      <c r="D719" s="113"/>
      <c r="E719" s="107"/>
    </row>
    <row r="720">
      <c r="A720" s="111" t="s">
        <v>7</v>
      </c>
      <c r="B720" s="111" t="s">
        <v>393</v>
      </c>
      <c r="C720" s="113"/>
      <c r="D720" s="113"/>
      <c r="E720" s="107"/>
    </row>
    <row r="721">
      <c r="A721" s="111" t="s">
        <v>7</v>
      </c>
      <c r="B721" s="111" t="s">
        <v>394</v>
      </c>
      <c r="C721" s="113"/>
      <c r="D721" s="113"/>
      <c r="E721" s="107"/>
    </row>
    <row r="722">
      <c r="A722" s="111" t="s">
        <v>7</v>
      </c>
      <c r="B722" s="111" t="s">
        <v>395</v>
      </c>
      <c r="C722" s="113"/>
      <c r="D722" s="117"/>
      <c r="E722" s="107"/>
    </row>
    <row r="723">
      <c r="A723" s="111" t="s">
        <v>7</v>
      </c>
      <c r="B723" s="111" t="s">
        <v>396</v>
      </c>
      <c r="C723" s="113"/>
      <c r="D723" s="117"/>
      <c r="E723" s="107"/>
    </row>
    <row r="724">
      <c r="A724" s="111" t="s">
        <v>7</v>
      </c>
      <c r="B724" s="111" t="s">
        <v>397</v>
      </c>
      <c r="C724" s="113"/>
      <c r="D724" s="117"/>
      <c r="E724" s="107"/>
    </row>
    <row r="725">
      <c r="A725" s="111" t="s">
        <v>7</v>
      </c>
      <c r="B725" s="111" t="s">
        <v>398</v>
      </c>
      <c r="C725" s="113"/>
      <c r="D725" s="117"/>
      <c r="E725" s="107"/>
    </row>
    <row r="726">
      <c r="A726" s="111" t="s">
        <v>7</v>
      </c>
      <c r="B726" s="111" t="s">
        <v>399</v>
      </c>
      <c r="C726" s="117">
        <v>0.09</v>
      </c>
      <c r="D726" s="117">
        <v>0.21</v>
      </c>
      <c r="E726" s="107">
        <v>154.0</v>
      </c>
    </row>
    <row r="727">
      <c r="A727" s="111" t="s">
        <v>7</v>
      </c>
      <c r="B727" s="111" t="s">
        <v>400</v>
      </c>
      <c r="C727" s="117">
        <v>0.08</v>
      </c>
      <c r="D727" s="117">
        <v>0.2</v>
      </c>
      <c r="E727" s="107">
        <v>165.0</v>
      </c>
    </row>
    <row r="728">
      <c r="A728" s="111" t="s">
        <v>7</v>
      </c>
      <c r="B728" s="111" t="s">
        <v>401</v>
      </c>
      <c r="C728" s="117">
        <v>0.08</v>
      </c>
      <c r="D728" s="117">
        <v>0.19</v>
      </c>
      <c r="E728" s="107">
        <v>165.0</v>
      </c>
    </row>
    <row r="729">
      <c r="A729" s="111" t="s">
        <v>7</v>
      </c>
      <c r="B729" s="111" t="s">
        <v>402</v>
      </c>
      <c r="C729" s="117">
        <v>0.08</v>
      </c>
      <c r="D729" s="117">
        <v>0.18</v>
      </c>
      <c r="E729" s="107">
        <v>165.0</v>
      </c>
    </row>
    <row r="730">
      <c r="A730" s="111" t="s">
        <v>7</v>
      </c>
      <c r="B730" s="111" t="s">
        <v>403</v>
      </c>
      <c r="C730" s="117">
        <v>0.08</v>
      </c>
      <c r="D730" s="117">
        <v>0.17</v>
      </c>
      <c r="E730" s="107">
        <v>165.0</v>
      </c>
    </row>
    <row r="731">
      <c r="A731" s="111" t="s">
        <v>7</v>
      </c>
      <c r="B731" s="111" t="s">
        <v>404</v>
      </c>
      <c r="C731" s="117">
        <v>-0.13</v>
      </c>
      <c r="D731" s="117">
        <v>0.32</v>
      </c>
      <c r="E731" s="107">
        <v>39.0</v>
      </c>
    </row>
    <row r="732">
      <c r="A732" s="111" t="s">
        <v>7</v>
      </c>
      <c r="B732" s="111" t="s">
        <v>405</v>
      </c>
      <c r="C732" s="117">
        <v>-0.3</v>
      </c>
      <c r="D732" s="117">
        <v>0.46</v>
      </c>
      <c r="E732" s="107">
        <v>39.0</v>
      </c>
    </row>
    <row r="733">
      <c r="A733" s="111" t="s">
        <v>7</v>
      </c>
      <c r="B733" s="111" t="s">
        <v>406</v>
      </c>
      <c r="C733" s="117">
        <v>-0.3</v>
      </c>
      <c r="D733" s="117">
        <v>0.5</v>
      </c>
      <c r="E733" s="107">
        <v>39.0</v>
      </c>
    </row>
    <row r="734">
      <c r="A734" s="111" t="s">
        <v>7</v>
      </c>
      <c r="B734" s="111" t="s">
        <v>407</v>
      </c>
      <c r="C734" s="117">
        <v>-0.3</v>
      </c>
      <c r="D734" s="117">
        <v>0.5</v>
      </c>
      <c r="E734" s="107">
        <v>39.0</v>
      </c>
    </row>
    <row r="735">
      <c r="A735" s="111" t="s">
        <v>7</v>
      </c>
      <c r="B735" s="111" t="s">
        <v>408</v>
      </c>
      <c r="C735" s="117">
        <v>0.03</v>
      </c>
      <c r="D735" s="117">
        <v>0.5</v>
      </c>
      <c r="E735" s="107">
        <v>132.0</v>
      </c>
    </row>
    <row r="736">
      <c r="A736" s="111" t="s">
        <v>7</v>
      </c>
      <c r="B736" s="111" t="s">
        <v>409</v>
      </c>
      <c r="C736" s="117">
        <v>0.82</v>
      </c>
      <c r="D736" s="117">
        <v>0.41</v>
      </c>
      <c r="E736" s="107">
        <v>132.0</v>
      </c>
    </row>
    <row r="737">
      <c r="A737" s="111" t="s">
        <v>7</v>
      </c>
      <c r="B737" s="111" t="s">
        <v>410</v>
      </c>
      <c r="C737" s="117">
        <v>1.0</v>
      </c>
      <c r="D737" s="117">
        <v>0.3</v>
      </c>
      <c r="E737" s="107">
        <v>132.0</v>
      </c>
    </row>
    <row r="738">
      <c r="A738" s="111" t="s">
        <v>7</v>
      </c>
      <c r="B738" s="111" t="s">
        <v>411</v>
      </c>
      <c r="C738" s="117">
        <v>1.0</v>
      </c>
      <c r="D738" s="117">
        <v>0.19</v>
      </c>
      <c r="E738" s="107">
        <v>132.0</v>
      </c>
    </row>
    <row r="739">
      <c r="A739" s="111" t="s">
        <v>7</v>
      </c>
      <c r="B739" s="111" t="s">
        <v>412</v>
      </c>
      <c r="C739" s="117">
        <v>1.0</v>
      </c>
      <c r="D739" s="117">
        <v>0.19</v>
      </c>
      <c r="E739" s="107">
        <v>130.0</v>
      </c>
    </row>
    <row r="740">
      <c r="A740" s="111" t="s">
        <v>7</v>
      </c>
      <c r="B740" s="111" t="s">
        <v>413</v>
      </c>
      <c r="C740" s="117">
        <v>1.0</v>
      </c>
      <c r="D740" s="117">
        <v>0.2</v>
      </c>
      <c r="E740" s="107">
        <v>130.0</v>
      </c>
    </row>
    <row r="741">
      <c r="A741" s="111" t="s">
        <v>7</v>
      </c>
      <c r="B741" s="111" t="s">
        <v>414</v>
      </c>
      <c r="C741" s="117">
        <v>0.59</v>
      </c>
      <c r="D741" s="117">
        <v>0.2</v>
      </c>
      <c r="E741" s="107">
        <v>130.0</v>
      </c>
    </row>
    <row r="742">
      <c r="A742" s="111" t="s">
        <v>7</v>
      </c>
      <c r="B742" s="111" t="s">
        <v>415</v>
      </c>
      <c r="C742" s="117">
        <v>-0.01</v>
      </c>
      <c r="D742" s="117">
        <v>0.21</v>
      </c>
      <c r="E742" s="107">
        <v>130.0</v>
      </c>
    </row>
    <row r="743">
      <c r="A743" s="111" t="s">
        <v>7</v>
      </c>
      <c r="B743" s="111" t="s">
        <v>416</v>
      </c>
      <c r="C743" s="117">
        <v>0.02</v>
      </c>
      <c r="D743" s="117">
        <v>0.2</v>
      </c>
      <c r="E743" s="107">
        <v>148.0</v>
      </c>
    </row>
    <row r="744">
      <c r="A744" s="111" t="s">
        <v>7</v>
      </c>
      <c r="B744" s="111" t="s">
        <v>417</v>
      </c>
      <c r="C744" s="117">
        <v>0.05</v>
      </c>
      <c r="D744" s="117">
        <v>0.21</v>
      </c>
      <c r="E744" s="107">
        <v>142.0</v>
      </c>
    </row>
    <row r="745">
      <c r="A745" s="111" t="s">
        <v>7</v>
      </c>
      <c r="B745" s="111" t="s">
        <v>418</v>
      </c>
      <c r="C745" s="117">
        <v>0.05</v>
      </c>
      <c r="D745" s="117">
        <v>0.22</v>
      </c>
      <c r="E745" s="107">
        <v>125.0</v>
      </c>
    </row>
    <row r="746">
      <c r="A746" s="111" t="s">
        <v>7</v>
      </c>
      <c r="B746" s="111" t="s">
        <v>419</v>
      </c>
      <c r="C746" s="117">
        <v>0.1</v>
      </c>
      <c r="D746" s="117">
        <v>0.21</v>
      </c>
      <c r="E746" s="107">
        <v>154.0</v>
      </c>
    </row>
    <row r="747">
      <c r="A747" s="111" t="s">
        <v>7</v>
      </c>
      <c r="B747" s="111" t="s">
        <v>420</v>
      </c>
      <c r="C747" s="117">
        <v>0.06</v>
      </c>
      <c r="D747" s="117">
        <v>0.21</v>
      </c>
      <c r="E747" s="107">
        <v>148.0</v>
      </c>
    </row>
    <row r="748">
      <c r="A748" s="111" t="s">
        <v>7</v>
      </c>
      <c r="B748" s="111" t="s">
        <v>421</v>
      </c>
      <c r="C748" s="117">
        <v>0.04</v>
      </c>
      <c r="D748" s="117">
        <v>0.2</v>
      </c>
      <c r="E748" s="107">
        <v>146.0</v>
      </c>
    </row>
    <row r="749">
      <c r="A749" s="111" t="s">
        <v>7</v>
      </c>
      <c r="B749" s="111" t="s">
        <v>422</v>
      </c>
      <c r="C749" s="117">
        <v>0.05</v>
      </c>
      <c r="D749" s="117">
        <v>0.2</v>
      </c>
      <c r="E749" s="107">
        <v>125.0</v>
      </c>
    </row>
    <row r="750">
      <c r="A750" s="111" t="s">
        <v>7</v>
      </c>
      <c r="B750" s="111" t="s">
        <v>423</v>
      </c>
      <c r="C750" s="117">
        <v>0.03</v>
      </c>
      <c r="D750" s="117">
        <v>0.22</v>
      </c>
      <c r="E750" s="107">
        <v>167.0</v>
      </c>
    </row>
    <row r="751">
      <c r="A751" s="111" t="s">
        <v>7</v>
      </c>
      <c r="B751" s="111" t="s">
        <v>424</v>
      </c>
      <c r="C751" s="117">
        <v>0.04</v>
      </c>
      <c r="D751" s="117">
        <v>0.2</v>
      </c>
      <c r="E751" s="107">
        <v>156.0</v>
      </c>
    </row>
    <row r="752">
      <c r="A752" s="111" t="s">
        <v>7</v>
      </c>
      <c r="B752" s="111" t="s">
        <v>425</v>
      </c>
      <c r="C752" s="117">
        <v>0.05</v>
      </c>
      <c r="D752" s="117">
        <v>0.2</v>
      </c>
      <c r="E752" s="107">
        <v>154.0</v>
      </c>
    </row>
    <row r="753">
      <c r="A753" s="111" t="s">
        <v>7</v>
      </c>
      <c r="B753" s="111" t="s">
        <v>426</v>
      </c>
      <c r="C753" s="117">
        <v>0.08</v>
      </c>
      <c r="D753" s="117">
        <v>0.2</v>
      </c>
      <c r="E753" s="107">
        <v>145.0</v>
      </c>
    </row>
    <row r="754">
      <c r="A754" s="111" t="s">
        <v>7</v>
      </c>
      <c r="B754" s="111" t="s">
        <v>427</v>
      </c>
      <c r="C754" s="117">
        <v>0.01</v>
      </c>
      <c r="D754" s="117">
        <v>0.19</v>
      </c>
      <c r="E754" s="107">
        <v>127.0</v>
      </c>
    </row>
    <row r="755">
      <c r="A755" s="111" t="s">
        <v>7</v>
      </c>
      <c r="B755" s="111" t="s">
        <v>428</v>
      </c>
      <c r="C755" s="117">
        <v>-0.23</v>
      </c>
      <c r="D755" s="117">
        <v>-0.08</v>
      </c>
      <c r="E755" s="107">
        <v>18.0</v>
      </c>
    </row>
    <row r="756">
      <c r="A756" s="111" t="s">
        <v>7</v>
      </c>
      <c r="B756" s="111" t="s">
        <v>429</v>
      </c>
      <c r="C756" s="117">
        <v>-0.3</v>
      </c>
      <c r="D756" s="117">
        <v>-0.15</v>
      </c>
      <c r="E756" s="107">
        <v>38.0</v>
      </c>
    </row>
    <row r="757">
      <c r="A757" s="111" t="s">
        <v>7</v>
      </c>
      <c r="B757" s="111" t="s">
        <v>430</v>
      </c>
      <c r="C757" s="117">
        <v>-0.3</v>
      </c>
      <c r="D757" s="117">
        <v>-0.3</v>
      </c>
      <c r="E757" s="107">
        <v>33.0</v>
      </c>
    </row>
    <row r="758">
      <c r="A758" s="111" t="s">
        <v>7</v>
      </c>
      <c r="B758" s="111" t="s">
        <v>431</v>
      </c>
      <c r="C758" s="117">
        <v>-0.3</v>
      </c>
      <c r="D758" s="117">
        <v>-0.48</v>
      </c>
      <c r="E758" s="107">
        <v>33.0</v>
      </c>
    </row>
    <row r="759">
      <c r="A759" s="111" t="s">
        <v>7</v>
      </c>
      <c r="B759" s="111" t="s">
        <v>432</v>
      </c>
      <c r="C759" s="117">
        <v>0.21</v>
      </c>
      <c r="D759" s="117">
        <v>-0.26</v>
      </c>
      <c r="E759" s="107">
        <v>75.0</v>
      </c>
    </row>
    <row r="760">
      <c r="A760" s="111" t="s">
        <v>7</v>
      </c>
      <c r="B760" s="111" t="s">
        <v>433</v>
      </c>
      <c r="C760" s="117">
        <v>0.88</v>
      </c>
      <c r="D760" s="117">
        <v>-0.23</v>
      </c>
      <c r="E760" s="107">
        <v>110.0</v>
      </c>
    </row>
    <row r="761">
      <c r="A761" s="111" t="s">
        <v>7</v>
      </c>
      <c r="B761" s="111" t="s">
        <v>434</v>
      </c>
      <c r="C761" s="117">
        <v>1.0</v>
      </c>
      <c r="D761" s="117">
        <v>-0.14</v>
      </c>
      <c r="E761" s="107">
        <v>105.0</v>
      </c>
    </row>
    <row r="762">
      <c r="A762" s="111" t="s">
        <v>7</v>
      </c>
      <c r="B762" s="111" t="s">
        <v>435</v>
      </c>
      <c r="C762" s="117">
        <v>1.0</v>
      </c>
      <c r="D762" s="117">
        <v>-0.03</v>
      </c>
      <c r="E762" s="107">
        <v>131.0</v>
      </c>
    </row>
    <row r="763">
      <c r="A763" s="111" t="s">
        <v>7</v>
      </c>
      <c r="B763" s="111" t="s">
        <v>436</v>
      </c>
      <c r="C763" s="117">
        <v>1.0</v>
      </c>
      <c r="D763" s="117">
        <v>-0.01</v>
      </c>
      <c r="E763" s="107">
        <v>160.0</v>
      </c>
    </row>
    <row r="764">
      <c r="A764" s="111" t="s">
        <v>7</v>
      </c>
      <c r="B764" s="111" t="s">
        <v>437</v>
      </c>
      <c r="C764" s="117">
        <v>1.0</v>
      </c>
      <c r="D764" s="117">
        <v>-0.01</v>
      </c>
      <c r="E764" s="107">
        <v>158.0</v>
      </c>
    </row>
    <row r="765">
      <c r="A765" s="111" t="s">
        <v>7</v>
      </c>
      <c r="B765" s="111" t="s">
        <v>438</v>
      </c>
      <c r="C765" s="117">
        <v>1.0</v>
      </c>
      <c r="D765" s="117">
        <v>0.01</v>
      </c>
      <c r="E765" s="107">
        <v>144.0</v>
      </c>
    </row>
    <row r="766">
      <c r="A766" s="111" t="s">
        <v>7</v>
      </c>
      <c r="B766" s="111" t="s">
        <v>439</v>
      </c>
      <c r="C766" s="117">
        <v>0.55</v>
      </c>
      <c r="D766" s="117">
        <v>0.04</v>
      </c>
      <c r="E766" s="107">
        <v>165.0</v>
      </c>
    </row>
    <row r="767">
      <c r="A767" s="111" t="s">
        <v>7</v>
      </c>
      <c r="B767" s="111" t="s">
        <v>440</v>
      </c>
      <c r="C767" s="117">
        <v>0.29</v>
      </c>
      <c r="D767" s="117">
        <v>0.08</v>
      </c>
      <c r="E767" s="107">
        <v>173.0</v>
      </c>
    </row>
    <row r="768">
      <c r="A768" s="111" t="s">
        <v>7</v>
      </c>
      <c r="B768" s="111" t="s">
        <v>441</v>
      </c>
      <c r="C768" s="117">
        <v>0.22</v>
      </c>
      <c r="D768" s="117">
        <v>0.1</v>
      </c>
      <c r="E768" s="107">
        <v>186.0</v>
      </c>
    </row>
    <row r="769">
      <c r="A769" s="111" t="s">
        <v>7</v>
      </c>
      <c r="B769" s="111" t="s">
        <v>442</v>
      </c>
      <c r="C769" s="117">
        <v>0.16</v>
      </c>
      <c r="D769" s="117">
        <v>0.11</v>
      </c>
      <c r="E769" s="107">
        <v>162.0</v>
      </c>
    </row>
    <row r="770">
      <c r="A770" s="111" t="s">
        <v>7</v>
      </c>
      <c r="B770" s="111" t="s">
        <v>443</v>
      </c>
      <c r="C770" s="117">
        <v>0.13</v>
      </c>
      <c r="D770" s="117">
        <v>0.12</v>
      </c>
      <c r="E770" s="107">
        <v>185.0</v>
      </c>
    </row>
    <row r="771">
      <c r="A771" s="111" t="s">
        <v>7</v>
      </c>
      <c r="B771" s="111" t="s">
        <v>444</v>
      </c>
      <c r="C771" s="117">
        <v>0.11</v>
      </c>
      <c r="D771" s="117">
        <v>0.11</v>
      </c>
      <c r="E771" s="107">
        <v>176.0</v>
      </c>
    </row>
    <row r="772">
      <c r="A772" s="111" t="s">
        <v>8</v>
      </c>
      <c r="B772" s="111" t="s">
        <v>335</v>
      </c>
      <c r="C772" s="113"/>
      <c r="D772" s="113"/>
    </row>
    <row r="773">
      <c r="A773" s="111" t="s">
        <v>8</v>
      </c>
      <c r="B773" s="111" t="s">
        <v>336</v>
      </c>
      <c r="C773" s="113"/>
      <c r="D773" s="113"/>
    </row>
    <row r="774">
      <c r="A774" s="111" t="s">
        <v>8</v>
      </c>
      <c r="B774" s="111" t="s">
        <v>337</v>
      </c>
      <c r="C774" s="113"/>
      <c r="D774" s="113"/>
    </row>
    <row r="775">
      <c r="A775" s="111" t="s">
        <v>8</v>
      </c>
      <c r="B775" s="111" t="s">
        <v>338</v>
      </c>
      <c r="C775" s="113"/>
      <c r="D775" s="113"/>
    </row>
    <row r="776">
      <c r="A776" s="111" t="s">
        <v>8</v>
      </c>
      <c r="B776" s="111" t="s">
        <v>339</v>
      </c>
      <c r="C776" s="113"/>
      <c r="D776" s="113"/>
    </row>
    <row r="777">
      <c r="A777" s="111" t="s">
        <v>8</v>
      </c>
      <c r="B777" s="111" t="s">
        <v>340</v>
      </c>
      <c r="C777" s="113"/>
      <c r="D777" s="113"/>
    </row>
    <row r="778">
      <c r="A778" s="111" t="s">
        <v>8</v>
      </c>
      <c r="B778" s="111" t="s">
        <v>341</v>
      </c>
      <c r="C778" s="113"/>
      <c r="D778" s="113"/>
    </row>
    <row r="779">
      <c r="A779" s="111" t="s">
        <v>8</v>
      </c>
      <c r="B779" s="111" t="s">
        <v>342</v>
      </c>
      <c r="C779" s="113"/>
      <c r="D779" s="113"/>
    </row>
    <row r="780">
      <c r="A780" s="111" t="s">
        <v>8</v>
      </c>
      <c r="B780" s="111" t="s">
        <v>343</v>
      </c>
      <c r="C780" s="113"/>
      <c r="D780" s="113"/>
    </row>
    <row r="781">
      <c r="A781" s="111" t="s">
        <v>8</v>
      </c>
      <c r="B781" s="111" t="s">
        <v>344</v>
      </c>
      <c r="C781" s="113"/>
      <c r="D781" s="113"/>
    </row>
    <row r="782">
      <c r="A782" s="111" t="s">
        <v>8</v>
      </c>
      <c r="B782" s="111" t="s">
        <v>345</v>
      </c>
      <c r="C782" s="113"/>
      <c r="D782" s="113"/>
    </row>
    <row r="783">
      <c r="A783" s="111" t="s">
        <v>8</v>
      </c>
      <c r="B783" s="111" t="s">
        <v>346</v>
      </c>
      <c r="C783" s="113"/>
      <c r="D783" s="113"/>
    </row>
    <row r="784">
      <c r="A784" s="111" t="s">
        <v>8</v>
      </c>
      <c r="B784" s="111" t="s">
        <v>347</v>
      </c>
      <c r="C784" s="113"/>
      <c r="D784" s="113"/>
    </row>
    <row r="785">
      <c r="A785" s="111" t="s">
        <v>8</v>
      </c>
      <c r="B785" s="111" t="s">
        <v>348</v>
      </c>
      <c r="C785" s="113"/>
      <c r="D785" s="113"/>
    </row>
    <row r="786">
      <c r="A786" s="111" t="s">
        <v>8</v>
      </c>
      <c r="B786" s="111" t="s">
        <v>349</v>
      </c>
      <c r="C786" s="113"/>
      <c r="D786" s="113"/>
    </row>
    <row r="787">
      <c r="A787" s="111" t="s">
        <v>8</v>
      </c>
      <c r="B787" s="111" t="s">
        <v>350</v>
      </c>
      <c r="C787" s="113"/>
      <c r="D787" s="113"/>
    </row>
    <row r="788">
      <c r="A788" s="111" t="s">
        <v>8</v>
      </c>
      <c r="B788" s="111" t="s">
        <v>351</v>
      </c>
      <c r="C788" s="113"/>
      <c r="D788" s="113"/>
    </row>
    <row r="789">
      <c r="A789" s="111" t="s">
        <v>8</v>
      </c>
      <c r="B789" s="111" t="s">
        <v>352</v>
      </c>
      <c r="C789" s="113"/>
      <c r="D789" s="113"/>
    </row>
    <row r="790">
      <c r="A790" s="111" t="s">
        <v>8</v>
      </c>
      <c r="B790" s="111" t="s">
        <v>353</v>
      </c>
      <c r="C790" s="113"/>
      <c r="D790" s="113"/>
    </row>
    <row r="791">
      <c r="A791" s="111" t="s">
        <v>8</v>
      </c>
      <c r="B791" s="111" t="s">
        <v>354</v>
      </c>
      <c r="C791" s="113"/>
      <c r="D791" s="113"/>
    </row>
    <row r="792">
      <c r="A792" s="111" t="s">
        <v>8</v>
      </c>
      <c r="B792" s="111" t="s">
        <v>355</v>
      </c>
      <c r="C792" s="113"/>
      <c r="D792" s="113"/>
    </row>
    <row r="793">
      <c r="A793" s="111" t="s">
        <v>8</v>
      </c>
      <c r="B793" s="111" t="s">
        <v>356</v>
      </c>
      <c r="C793" s="113"/>
      <c r="D793" s="113"/>
    </row>
    <row r="794">
      <c r="A794" s="111" t="s">
        <v>8</v>
      </c>
      <c r="B794" s="111" t="s">
        <v>357</v>
      </c>
      <c r="C794" s="113"/>
      <c r="D794" s="113"/>
    </row>
    <row r="795">
      <c r="A795" s="111" t="s">
        <v>8</v>
      </c>
      <c r="B795" s="111" t="s">
        <v>358</v>
      </c>
      <c r="C795" s="113"/>
      <c r="D795" s="113"/>
    </row>
    <row r="796">
      <c r="A796" s="111" t="s">
        <v>8</v>
      </c>
      <c r="B796" s="111" t="s">
        <v>359</v>
      </c>
      <c r="C796" s="113"/>
      <c r="D796" s="113"/>
    </row>
    <row r="797">
      <c r="A797" s="111" t="s">
        <v>8</v>
      </c>
      <c r="B797" s="111" t="s">
        <v>360</v>
      </c>
      <c r="C797" s="113"/>
      <c r="D797" s="113"/>
    </row>
    <row r="798">
      <c r="A798" s="111" t="s">
        <v>8</v>
      </c>
      <c r="B798" s="111" t="s">
        <v>361</v>
      </c>
      <c r="C798" s="113"/>
      <c r="D798" s="113"/>
    </row>
    <row r="799">
      <c r="A799" s="111" t="s">
        <v>8</v>
      </c>
      <c r="B799" s="111" t="s">
        <v>362</v>
      </c>
      <c r="C799" s="113"/>
      <c r="D799" s="113"/>
    </row>
    <row r="800">
      <c r="A800" s="111" t="s">
        <v>8</v>
      </c>
      <c r="B800" s="111" t="s">
        <v>363</v>
      </c>
      <c r="C800" s="113"/>
      <c r="D800" s="113"/>
    </row>
    <row r="801">
      <c r="A801" s="111" t="s">
        <v>8</v>
      </c>
      <c r="B801" s="111" t="s">
        <v>364</v>
      </c>
      <c r="C801" s="113"/>
      <c r="D801" s="113"/>
    </row>
    <row r="802">
      <c r="A802" s="111" t="s">
        <v>8</v>
      </c>
      <c r="B802" s="111" t="s">
        <v>365</v>
      </c>
      <c r="C802" s="113"/>
      <c r="D802" s="113"/>
    </row>
    <row r="803">
      <c r="A803" s="111" t="s">
        <v>8</v>
      </c>
      <c r="B803" s="111" t="s">
        <v>366</v>
      </c>
      <c r="C803" s="113"/>
      <c r="D803" s="113"/>
    </row>
    <row r="804">
      <c r="A804" s="111" t="s">
        <v>8</v>
      </c>
      <c r="B804" s="111" t="s">
        <v>367</v>
      </c>
      <c r="C804" s="113"/>
      <c r="D804" s="113"/>
    </row>
    <row r="805">
      <c r="A805" s="111" t="s">
        <v>8</v>
      </c>
      <c r="B805" s="111" t="s">
        <v>368</v>
      </c>
      <c r="C805" s="113"/>
      <c r="D805" s="113"/>
    </row>
    <row r="806">
      <c r="A806" s="111" t="s">
        <v>8</v>
      </c>
      <c r="B806" s="111" t="s">
        <v>369</v>
      </c>
      <c r="C806" s="113"/>
      <c r="D806" s="113"/>
    </row>
    <row r="807">
      <c r="A807" s="111" t="s">
        <v>8</v>
      </c>
      <c r="B807" s="111" t="s">
        <v>370</v>
      </c>
      <c r="C807" s="113"/>
      <c r="D807" s="113"/>
    </row>
    <row r="808">
      <c r="A808" s="111" t="s">
        <v>8</v>
      </c>
      <c r="B808" s="111" t="s">
        <v>371</v>
      </c>
      <c r="C808" s="113"/>
      <c r="D808" s="113"/>
    </row>
    <row r="809">
      <c r="A809" s="111" t="s">
        <v>8</v>
      </c>
      <c r="B809" s="111" t="s">
        <v>372</v>
      </c>
      <c r="C809" s="113"/>
      <c r="D809" s="113"/>
    </row>
    <row r="810">
      <c r="A810" s="111" t="s">
        <v>8</v>
      </c>
      <c r="B810" s="111" t="s">
        <v>373</v>
      </c>
      <c r="C810" s="113"/>
      <c r="D810" s="113"/>
    </row>
    <row r="811">
      <c r="A811" s="111" t="s">
        <v>8</v>
      </c>
      <c r="B811" s="111" t="s">
        <v>374</v>
      </c>
      <c r="C811" s="113"/>
      <c r="D811" s="113"/>
    </row>
    <row r="812">
      <c r="A812" s="111" t="s">
        <v>8</v>
      </c>
      <c r="B812" s="111" t="s">
        <v>375</v>
      </c>
      <c r="C812" s="113"/>
      <c r="D812" s="113"/>
    </row>
    <row r="813">
      <c r="A813" s="111" t="s">
        <v>8</v>
      </c>
      <c r="B813" s="111" t="s">
        <v>376</v>
      </c>
      <c r="C813" s="113"/>
      <c r="D813" s="113"/>
    </row>
    <row r="814">
      <c r="A814" s="111" t="s">
        <v>8</v>
      </c>
      <c r="B814" s="111" t="s">
        <v>377</v>
      </c>
      <c r="C814" s="113"/>
      <c r="D814" s="113"/>
    </row>
    <row r="815">
      <c r="A815" s="111" t="s">
        <v>8</v>
      </c>
      <c r="B815" s="111" t="s">
        <v>378</v>
      </c>
      <c r="C815" s="113"/>
      <c r="D815" s="113"/>
    </row>
    <row r="816">
      <c r="A816" s="111" t="s">
        <v>8</v>
      </c>
      <c r="B816" s="111" t="s">
        <v>379</v>
      </c>
      <c r="C816" s="113"/>
      <c r="D816" s="113"/>
    </row>
    <row r="817">
      <c r="A817" s="111" t="s">
        <v>8</v>
      </c>
      <c r="B817" s="111" t="s">
        <v>380</v>
      </c>
      <c r="C817" s="113"/>
      <c r="D817" s="113"/>
    </row>
    <row r="818">
      <c r="A818" s="111" t="s">
        <v>8</v>
      </c>
      <c r="B818" s="111" t="s">
        <v>381</v>
      </c>
      <c r="C818" s="113"/>
      <c r="D818" s="113"/>
    </row>
    <row r="819">
      <c r="A819" s="111" t="s">
        <v>8</v>
      </c>
      <c r="B819" s="111" t="s">
        <v>382</v>
      </c>
      <c r="C819" s="113"/>
      <c r="D819" s="113"/>
    </row>
    <row r="820">
      <c r="A820" s="111" t="s">
        <v>8</v>
      </c>
      <c r="B820" s="111" t="s">
        <v>383</v>
      </c>
      <c r="C820" s="113"/>
      <c r="D820" s="113"/>
    </row>
    <row r="821">
      <c r="A821" s="111" t="s">
        <v>8</v>
      </c>
      <c r="B821" s="111" t="s">
        <v>384</v>
      </c>
      <c r="C821" s="113"/>
      <c r="D821" s="113"/>
    </row>
    <row r="822">
      <c r="A822" s="111" t="s">
        <v>8</v>
      </c>
      <c r="B822" s="111" t="s">
        <v>385</v>
      </c>
      <c r="C822" s="113"/>
      <c r="D822" s="113"/>
    </row>
    <row r="823">
      <c r="A823" s="111" t="s">
        <v>8</v>
      </c>
      <c r="B823" s="111" t="s">
        <v>386</v>
      </c>
      <c r="C823" s="113"/>
      <c r="D823" s="113"/>
    </row>
    <row r="824">
      <c r="A824" s="111" t="s">
        <v>8</v>
      </c>
      <c r="B824" s="111" t="s">
        <v>387</v>
      </c>
      <c r="C824" s="113"/>
      <c r="D824" s="113"/>
    </row>
    <row r="825">
      <c r="A825" s="111" t="s">
        <v>8</v>
      </c>
      <c r="B825" s="111" t="s">
        <v>388</v>
      </c>
      <c r="C825" s="113"/>
      <c r="D825" s="113"/>
    </row>
    <row r="826">
      <c r="A826" s="111" t="s">
        <v>8</v>
      </c>
      <c r="B826" s="111" t="s">
        <v>389</v>
      </c>
      <c r="C826" s="113"/>
      <c r="D826" s="113"/>
    </row>
    <row r="827">
      <c r="A827" s="111" t="s">
        <v>8</v>
      </c>
      <c r="B827" s="111" t="s">
        <v>390</v>
      </c>
      <c r="C827" s="113"/>
      <c r="D827" s="113"/>
    </row>
    <row r="828">
      <c r="A828" s="111" t="s">
        <v>8</v>
      </c>
      <c r="B828" s="111" t="s">
        <v>391</v>
      </c>
      <c r="C828" s="113"/>
      <c r="D828" s="113"/>
    </row>
    <row r="829">
      <c r="A829" s="111" t="s">
        <v>8</v>
      </c>
      <c r="B829" s="111" t="s">
        <v>392</v>
      </c>
      <c r="C829" s="113"/>
      <c r="D829" s="113"/>
    </row>
    <row r="830">
      <c r="A830" s="111" t="s">
        <v>8</v>
      </c>
      <c r="B830" s="111" t="s">
        <v>393</v>
      </c>
      <c r="C830" s="113"/>
      <c r="D830" s="113"/>
    </row>
    <row r="831">
      <c r="A831" s="111" t="s">
        <v>8</v>
      </c>
      <c r="B831" s="111" t="s">
        <v>394</v>
      </c>
      <c r="C831" s="113"/>
      <c r="D831" s="113"/>
    </row>
    <row r="832">
      <c r="A832" s="111" t="s">
        <v>8</v>
      </c>
      <c r="B832" s="111" t="s">
        <v>395</v>
      </c>
      <c r="C832" s="113"/>
      <c r="D832" s="113"/>
    </row>
    <row r="833">
      <c r="A833" s="111" t="s">
        <v>8</v>
      </c>
      <c r="B833" s="111" t="s">
        <v>396</v>
      </c>
      <c r="C833" s="113"/>
      <c r="D833" s="113"/>
    </row>
    <row r="834">
      <c r="A834" s="111" t="s">
        <v>8</v>
      </c>
      <c r="B834" s="111" t="s">
        <v>397</v>
      </c>
      <c r="C834" s="113"/>
      <c r="D834" s="113"/>
    </row>
    <row r="835">
      <c r="A835" s="111" t="s">
        <v>8</v>
      </c>
      <c r="B835" s="111" t="s">
        <v>398</v>
      </c>
      <c r="C835" s="113"/>
      <c r="D835" s="113"/>
    </row>
    <row r="836">
      <c r="A836" s="111" t="s">
        <v>8</v>
      </c>
      <c r="B836" s="111" t="s">
        <v>399</v>
      </c>
      <c r="C836" s="113"/>
      <c r="D836" s="113"/>
    </row>
    <row r="837">
      <c r="A837" s="111" t="s">
        <v>8</v>
      </c>
      <c r="B837" s="111" t="s">
        <v>400</v>
      </c>
      <c r="C837" s="113"/>
      <c r="D837" s="113"/>
    </row>
    <row r="838">
      <c r="A838" s="111" t="s">
        <v>8</v>
      </c>
      <c r="B838" s="111" t="s">
        <v>401</v>
      </c>
      <c r="C838" s="113"/>
      <c r="D838" s="113"/>
    </row>
    <row r="839">
      <c r="A839" s="111" t="s">
        <v>8</v>
      </c>
      <c r="B839" s="111" t="s">
        <v>402</v>
      </c>
      <c r="C839" s="113"/>
      <c r="D839" s="113"/>
    </row>
    <row r="840">
      <c r="A840" s="111" t="s">
        <v>8</v>
      </c>
      <c r="B840" s="111" t="s">
        <v>403</v>
      </c>
      <c r="C840" s="113"/>
      <c r="D840" s="113"/>
    </row>
    <row r="841">
      <c r="A841" s="111" t="s">
        <v>8</v>
      </c>
      <c r="B841" s="111" t="s">
        <v>404</v>
      </c>
      <c r="C841" s="113"/>
      <c r="D841" s="113"/>
    </row>
    <row r="842">
      <c r="A842" s="111" t="s">
        <v>8</v>
      </c>
      <c r="B842" s="111" t="s">
        <v>405</v>
      </c>
      <c r="C842" s="113"/>
      <c r="D842" s="113"/>
    </row>
    <row r="843">
      <c r="A843" s="111" t="s">
        <v>8</v>
      </c>
      <c r="B843" s="111" t="s">
        <v>406</v>
      </c>
      <c r="C843" s="113"/>
      <c r="D843" s="113"/>
    </row>
    <row r="844">
      <c r="A844" s="111" t="s">
        <v>8</v>
      </c>
      <c r="B844" s="111" t="s">
        <v>407</v>
      </c>
      <c r="C844" s="113"/>
      <c r="D844" s="113"/>
      <c r="E844" s="107"/>
    </row>
    <row r="845">
      <c r="A845" s="111" t="s">
        <v>8</v>
      </c>
      <c r="B845" s="111" t="s">
        <v>408</v>
      </c>
      <c r="C845" s="113"/>
      <c r="D845" s="113"/>
      <c r="E845" s="107"/>
    </row>
    <row r="846">
      <c r="A846" s="111" t="s">
        <v>8</v>
      </c>
      <c r="B846" s="111" t="s">
        <v>409</v>
      </c>
      <c r="C846" s="113"/>
      <c r="D846" s="113"/>
      <c r="E846" s="107"/>
    </row>
    <row r="847">
      <c r="A847" s="111" t="s">
        <v>8</v>
      </c>
      <c r="B847" s="111" t="s">
        <v>410</v>
      </c>
      <c r="C847" s="113"/>
      <c r="D847" s="117"/>
      <c r="E847" s="107"/>
    </row>
    <row r="848">
      <c r="A848" s="111" t="s">
        <v>8</v>
      </c>
      <c r="B848" s="111" t="s">
        <v>411</v>
      </c>
      <c r="C848" s="117">
        <v>-0.1</v>
      </c>
      <c r="D848" s="117">
        <v>-0.07</v>
      </c>
      <c r="E848" s="107">
        <v>95.0</v>
      </c>
    </row>
    <row r="849">
      <c r="A849" s="111" t="s">
        <v>8</v>
      </c>
      <c r="B849" s="111" t="s">
        <v>412</v>
      </c>
      <c r="C849" s="117">
        <v>-0.08</v>
      </c>
      <c r="D849" s="117">
        <v>-0.04</v>
      </c>
      <c r="E849" s="107">
        <v>99.0</v>
      </c>
    </row>
    <row r="850">
      <c r="A850" s="111" t="s">
        <v>8</v>
      </c>
      <c r="B850" s="111" t="s">
        <v>413</v>
      </c>
      <c r="C850" s="117">
        <v>-0.05</v>
      </c>
      <c r="D850" s="117">
        <v>0.03</v>
      </c>
      <c r="E850" s="107">
        <v>106.0</v>
      </c>
    </row>
    <row r="851">
      <c r="A851" s="111" t="s">
        <v>8</v>
      </c>
      <c r="B851" s="111" t="s">
        <v>414</v>
      </c>
      <c r="C851" s="117">
        <v>-0.03</v>
      </c>
      <c r="D851" s="117">
        <v>0.07</v>
      </c>
      <c r="E851" s="107">
        <v>111.0</v>
      </c>
    </row>
    <row r="852">
      <c r="A852" s="111" t="s">
        <v>8</v>
      </c>
      <c r="B852" s="111" t="s">
        <v>415</v>
      </c>
      <c r="C852" s="117">
        <v>0.08</v>
      </c>
      <c r="D852" s="117">
        <v>0.1</v>
      </c>
      <c r="E852" s="107">
        <v>125.0</v>
      </c>
    </row>
    <row r="853">
      <c r="A853" s="111" t="s">
        <v>8</v>
      </c>
      <c r="B853" s="111" t="s">
        <v>416</v>
      </c>
      <c r="C853" s="117">
        <v>0.16</v>
      </c>
      <c r="D853" s="117">
        <v>0.11</v>
      </c>
      <c r="E853" s="107">
        <v>123.0</v>
      </c>
    </row>
    <row r="854">
      <c r="A854" s="111" t="s">
        <v>8</v>
      </c>
      <c r="B854" s="111" t="s">
        <v>417</v>
      </c>
      <c r="C854" s="117">
        <v>0.21</v>
      </c>
      <c r="D854" s="117">
        <v>0.09</v>
      </c>
      <c r="E854" s="107">
        <v>131.0</v>
      </c>
    </row>
    <row r="855">
      <c r="A855" s="111" t="s">
        <v>8</v>
      </c>
      <c r="B855" s="111" t="s">
        <v>418</v>
      </c>
      <c r="C855" s="117">
        <v>0.27</v>
      </c>
      <c r="D855" s="117">
        <v>0.1</v>
      </c>
      <c r="E855" s="107">
        <v>144.0</v>
      </c>
    </row>
    <row r="856">
      <c r="A856" s="111" t="s">
        <v>8</v>
      </c>
      <c r="B856" s="111" t="s">
        <v>419</v>
      </c>
      <c r="C856" s="117">
        <v>0.24</v>
      </c>
      <c r="D856" s="117">
        <v>0.1</v>
      </c>
      <c r="E856" s="107">
        <v>149.0</v>
      </c>
    </row>
    <row r="857">
      <c r="A857" s="111" t="s">
        <v>8</v>
      </c>
      <c r="B857" s="111" t="s">
        <v>420</v>
      </c>
      <c r="C857" s="117">
        <v>0.19</v>
      </c>
      <c r="D857" s="117">
        <v>0.09</v>
      </c>
      <c r="E857" s="107">
        <v>128.0</v>
      </c>
    </row>
    <row r="858">
      <c r="A858" s="111" t="s">
        <v>8</v>
      </c>
      <c r="B858" s="111" t="s">
        <v>421</v>
      </c>
      <c r="C858" s="117">
        <v>0.11</v>
      </c>
      <c r="D858" s="117">
        <v>0.06</v>
      </c>
      <c r="E858" s="107">
        <v>121.0</v>
      </c>
    </row>
    <row r="859">
      <c r="A859" s="111" t="s">
        <v>8</v>
      </c>
      <c r="B859" s="111" t="s">
        <v>422</v>
      </c>
      <c r="C859" s="117">
        <v>0.02</v>
      </c>
      <c r="D859" s="117">
        <v>0.05</v>
      </c>
      <c r="E859" s="107">
        <v>133.0</v>
      </c>
    </row>
    <row r="860">
      <c r="A860" s="111" t="s">
        <v>8</v>
      </c>
      <c r="B860" s="111" t="s">
        <v>423</v>
      </c>
      <c r="C860" s="117">
        <v>-0.06</v>
      </c>
      <c r="D860" s="117">
        <v>0.01</v>
      </c>
      <c r="E860" s="107">
        <v>133.0</v>
      </c>
    </row>
    <row r="861">
      <c r="A861" s="111" t="s">
        <v>8</v>
      </c>
      <c r="B861" s="111" t="s">
        <v>424</v>
      </c>
      <c r="C861" s="117">
        <v>-0.09</v>
      </c>
      <c r="D861" s="117">
        <v>-0.03</v>
      </c>
      <c r="E861" s="107">
        <v>114.0</v>
      </c>
    </row>
    <row r="862">
      <c r="A862" s="111" t="s">
        <v>8</v>
      </c>
      <c r="B862" s="111" t="s">
        <v>425</v>
      </c>
      <c r="C862" s="117">
        <v>-0.05</v>
      </c>
      <c r="D862" s="117">
        <v>-0.03</v>
      </c>
      <c r="E862" s="107">
        <v>132.0</v>
      </c>
    </row>
    <row r="863">
      <c r="A863" s="111" t="s">
        <v>8</v>
      </c>
      <c r="B863" s="111" t="s">
        <v>426</v>
      </c>
      <c r="C863" s="117">
        <v>-0.01</v>
      </c>
      <c r="D863" s="117">
        <v>-0.05</v>
      </c>
      <c r="E863" s="107">
        <v>146.0</v>
      </c>
    </row>
    <row r="864">
      <c r="A864" s="111" t="s">
        <v>8</v>
      </c>
      <c r="B864" s="111" t="s">
        <v>427</v>
      </c>
      <c r="C864" s="117">
        <v>-0.09</v>
      </c>
      <c r="D864" s="117">
        <v>-0.11</v>
      </c>
      <c r="E864" s="107">
        <v>76.0</v>
      </c>
    </row>
    <row r="865">
      <c r="A865" s="111" t="s">
        <v>8</v>
      </c>
      <c r="B865" s="111" t="s">
        <v>428</v>
      </c>
      <c r="C865" s="117">
        <v>-0.3</v>
      </c>
      <c r="D865" s="117">
        <v>0.5</v>
      </c>
      <c r="E865" s="107">
        <v>-10.0</v>
      </c>
    </row>
    <row r="866">
      <c r="A866" s="111" t="s">
        <v>8</v>
      </c>
      <c r="B866" s="111" t="s">
        <v>429</v>
      </c>
      <c r="C866" s="117">
        <v>-0.3</v>
      </c>
      <c r="D866" s="117">
        <v>0.5</v>
      </c>
      <c r="E866" s="107">
        <v>12.0</v>
      </c>
    </row>
    <row r="867">
      <c r="A867" s="111" t="s">
        <v>8</v>
      </c>
      <c r="B867" s="111" t="s">
        <v>430</v>
      </c>
      <c r="C867" s="117">
        <v>-0.3</v>
      </c>
      <c r="D867" s="117">
        <v>0.44</v>
      </c>
      <c r="E867" s="107">
        <v>53.0</v>
      </c>
    </row>
    <row r="868">
      <c r="A868" s="111" t="s">
        <v>8</v>
      </c>
      <c r="B868" s="111" t="s">
        <v>431</v>
      </c>
      <c r="C868" s="117">
        <v>-0.3</v>
      </c>
      <c r="D868" s="117">
        <v>0.31</v>
      </c>
      <c r="E868" s="107">
        <v>52.0</v>
      </c>
    </row>
    <row r="869">
      <c r="A869" s="111" t="s">
        <v>8</v>
      </c>
      <c r="B869" s="111" t="s">
        <v>432</v>
      </c>
      <c r="C869" s="117">
        <v>-0.3</v>
      </c>
      <c r="D869" s="117">
        <v>-0.5</v>
      </c>
      <c r="E869" s="107">
        <v>63.0</v>
      </c>
    </row>
    <row r="870">
      <c r="A870" s="111" t="s">
        <v>8</v>
      </c>
      <c r="B870" s="111" t="s">
        <v>433</v>
      </c>
      <c r="C870" s="117">
        <v>-0.3</v>
      </c>
      <c r="D870" s="117">
        <v>-0.5</v>
      </c>
      <c r="E870" s="107">
        <v>83.0</v>
      </c>
    </row>
    <row r="871">
      <c r="A871" s="111" t="s">
        <v>8</v>
      </c>
      <c r="B871" s="111" t="s">
        <v>434</v>
      </c>
      <c r="C871" s="117">
        <v>-0.09</v>
      </c>
      <c r="D871" s="117">
        <v>-0.42</v>
      </c>
      <c r="E871" s="107">
        <v>125.0</v>
      </c>
    </row>
    <row r="872">
      <c r="A872" s="111" t="s">
        <v>8</v>
      </c>
      <c r="B872" s="111" t="s">
        <v>435</v>
      </c>
      <c r="C872" s="117">
        <v>0.28</v>
      </c>
      <c r="D872" s="117">
        <v>-0.26</v>
      </c>
      <c r="E872" s="107">
        <v>112.0</v>
      </c>
    </row>
    <row r="873">
      <c r="A873" s="111" t="s">
        <v>8</v>
      </c>
      <c r="B873" s="111" t="s">
        <v>436</v>
      </c>
      <c r="C873" s="117">
        <v>1.0</v>
      </c>
      <c r="D873" s="117">
        <v>-0.14</v>
      </c>
      <c r="E873" s="107">
        <v>134.0</v>
      </c>
    </row>
    <row r="874">
      <c r="A874" s="111" t="s">
        <v>8</v>
      </c>
      <c r="B874" s="111" t="s">
        <v>437</v>
      </c>
      <c r="C874" s="117">
        <v>1.0</v>
      </c>
      <c r="D874" s="117">
        <v>-0.08</v>
      </c>
      <c r="E874" s="107">
        <v>146.0</v>
      </c>
    </row>
    <row r="875">
      <c r="A875" s="111" t="s">
        <v>8</v>
      </c>
      <c r="B875" s="111" t="s">
        <v>438</v>
      </c>
      <c r="C875" s="117">
        <v>0.8</v>
      </c>
      <c r="D875" s="117">
        <v>-0.09</v>
      </c>
      <c r="E875" s="107">
        <v>146.0</v>
      </c>
    </row>
    <row r="876">
      <c r="A876" s="111" t="s">
        <v>8</v>
      </c>
      <c r="B876" s="111" t="s">
        <v>439</v>
      </c>
      <c r="C876" s="117">
        <v>0.61</v>
      </c>
      <c r="D876" s="117">
        <v>-0.07</v>
      </c>
      <c r="E876" s="107">
        <v>159.0</v>
      </c>
    </row>
    <row r="877">
      <c r="A877" s="111" t="s">
        <v>8</v>
      </c>
      <c r="B877" s="111" t="s">
        <v>440</v>
      </c>
      <c r="C877" s="117">
        <v>0.39</v>
      </c>
      <c r="D877" s="117">
        <v>-0.03</v>
      </c>
      <c r="E877" s="107">
        <v>166.0</v>
      </c>
    </row>
    <row r="878">
      <c r="A878" s="111" t="s">
        <v>8</v>
      </c>
      <c r="B878" s="111" t="s">
        <v>441</v>
      </c>
      <c r="C878" s="117">
        <v>0.26</v>
      </c>
      <c r="D878" s="117">
        <v>0.01</v>
      </c>
      <c r="E878" s="107">
        <v>178.0</v>
      </c>
    </row>
    <row r="879">
      <c r="A879" s="111" t="s">
        <v>8</v>
      </c>
      <c r="B879" s="111" t="s">
        <v>442</v>
      </c>
      <c r="C879" s="117">
        <v>0.32</v>
      </c>
      <c r="D879" s="117">
        <v>0.04</v>
      </c>
      <c r="E879" s="107">
        <v>204.0</v>
      </c>
    </row>
    <row r="880">
      <c r="A880" s="111" t="s">
        <v>8</v>
      </c>
      <c r="B880" s="111" t="s">
        <v>443</v>
      </c>
      <c r="C880" s="117">
        <v>0.24</v>
      </c>
      <c r="D880" s="117">
        <v>0.08</v>
      </c>
      <c r="E880" s="107">
        <v>174.0</v>
      </c>
    </row>
    <row r="881">
      <c r="A881" s="111" t="s">
        <v>8</v>
      </c>
      <c r="B881" s="111" t="s">
        <v>444</v>
      </c>
      <c r="C881" s="117">
        <v>0.21</v>
      </c>
      <c r="D881" s="117">
        <v>0.07</v>
      </c>
      <c r="E881" s="107">
        <v>185.0</v>
      </c>
    </row>
    <row r="882">
      <c r="A882" s="111" t="s">
        <v>9</v>
      </c>
      <c r="B882" s="111" t="s">
        <v>335</v>
      </c>
      <c r="C882" s="113"/>
      <c r="D882" s="113"/>
    </row>
    <row r="883">
      <c r="A883" s="111" t="s">
        <v>9</v>
      </c>
      <c r="B883" s="111" t="s">
        <v>336</v>
      </c>
      <c r="C883" s="113"/>
      <c r="D883" s="113"/>
    </row>
    <row r="884">
      <c r="A884" s="111" t="s">
        <v>9</v>
      </c>
      <c r="B884" s="111" t="s">
        <v>337</v>
      </c>
      <c r="C884" s="113"/>
      <c r="D884" s="113"/>
    </row>
    <row r="885">
      <c r="A885" s="111" t="s">
        <v>9</v>
      </c>
      <c r="B885" s="111" t="s">
        <v>338</v>
      </c>
      <c r="C885" s="113"/>
      <c r="D885" s="113"/>
    </row>
    <row r="886">
      <c r="A886" s="111" t="s">
        <v>9</v>
      </c>
      <c r="B886" s="111" t="s">
        <v>339</v>
      </c>
      <c r="C886" s="113"/>
      <c r="D886" s="113"/>
    </row>
    <row r="887">
      <c r="A887" s="111" t="s">
        <v>9</v>
      </c>
      <c r="B887" s="111" t="s">
        <v>340</v>
      </c>
      <c r="C887" s="113"/>
      <c r="D887" s="113"/>
    </row>
    <row r="888">
      <c r="A888" s="111" t="s">
        <v>9</v>
      </c>
      <c r="B888" s="111" t="s">
        <v>341</v>
      </c>
      <c r="C888" s="113"/>
      <c r="D888" s="113"/>
    </row>
    <row r="889">
      <c r="A889" s="111" t="s">
        <v>9</v>
      </c>
      <c r="B889" s="111" t="s">
        <v>342</v>
      </c>
      <c r="C889" s="113"/>
      <c r="D889" s="113"/>
    </row>
    <row r="890">
      <c r="A890" s="111" t="s">
        <v>9</v>
      </c>
      <c r="B890" s="111" t="s">
        <v>343</v>
      </c>
      <c r="C890" s="113"/>
      <c r="D890" s="113"/>
    </row>
    <row r="891">
      <c r="A891" s="111" t="s">
        <v>9</v>
      </c>
      <c r="B891" s="111" t="s">
        <v>344</v>
      </c>
      <c r="C891" s="113"/>
      <c r="D891" s="113"/>
    </row>
    <row r="892">
      <c r="A892" s="111" t="s">
        <v>9</v>
      </c>
      <c r="B892" s="111" t="s">
        <v>345</v>
      </c>
      <c r="C892" s="113"/>
      <c r="D892" s="113"/>
    </row>
    <row r="893">
      <c r="A893" s="111" t="s">
        <v>9</v>
      </c>
      <c r="B893" s="111" t="s">
        <v>346</v>
      </c>
      <c r="C893" s="113"/>
      <c r="D893" s="113"/>
    </row>
    <row r="894">
      <c r="A894" s="111" t="s">
        <v>9</v>
      </c>
      <c r="B894" s="111" t="s">
        <v>347</v>
      </c>
      <c r="C894" s="113"/>
      <c r="D894" s="113"/>
    </row>
    <row r="895">
      <c r="A895" s="111" t="s">
        <v>9</v>
      </c>
      <c r="B895" s="111" t="s">
        <v>348</v>
      </c>
      <c r="C895" s="113"/>
      <c r="D895" s="113"/>
    </row>
    <row r="896">
      <c r="A896" s="111" t="s">
        <v>9</v>
      </c>
      <c r="B896" s="111" t="s">
        <v>349</v>
      </c>
      <c r="C896" s="113"/>
      <c r="D896" s="113"/>
    </row>
    <row r="897">
      <c r="A897" s="111" t="s">
        <v>9</v>
      </c>
      <c r="B897" s="111" t="s">
        <v>350</v>
      </c>
      <c r="C897" s="113"/>
      <c r="D897" s="113"/>
    </row>
    <row r="898">
      <c r="A898" s="111" t="s">
        <v>9</v>
      </c>
      <c r="B898" s="111" t="s">
        <v>351</v>
      </c>
      <c r="C898" s="113"/>
      <c r="D898" s="113"/>
    </row>
    <row r="899">
      <c r="A899" s="111" t="s">
        <v>9</v>
      </c>
      <c r="B899" s="111" t="s">
        <v>352</v>
      </c>
      <c r="C899" s="113"/>
      <c r="D899" s="113"/>
    </row>
    <row r="900">
      <c r="A900" s="111" t="s">
        <v>9</v>
      </c>
      <c r="B900" s="111" t="s">
        <v>353</v>
      </c>
      <c r="C900" s="113"/>
      <c r="D900" s="113"/>
    </row>
    <row r="901">
      <c r="A901" s="111" t="s">
        <v>9</v>
      </c>
      <c r="B901" s="111" t="s">
        <v>354</v>
      </c>
      <c r="C901" s="113"/>
      <c r="D901" s="113"/>
    </row>
    <row r="902">
      <c r="A902" s="111" t="s">
        <v>9</v>
      </c>
      <c r="B902" s="111" t="s">
        <v>355</v>
      </c>
      <c r="C902" s="113"/>
      <c r="D902" s="113"/>
    </row>
    <row r="903">
      <c r="A903" s="111" t="s">
        <v>9</v>
      </c>
      <c r="B903" s="111" t="s">
        <v>356</v>
      </c>
      <c r="C903" s="113"/>
      <c r="D903" s="113"/>
    </row>
    <row r="904">
      <c r="A904" s="111" t="s">
        <v>9</v>
      </c>
      <c r="B904" s="111" t="s">
        <v>357</v>
      </c>
      <c r="C904" s="113"/>
      <c r="D904" s="113"/>
    </row>
    <row r="905">
      <c r="A905" s="111" t="s">
        <v>9</v>
      </c>
      <c r="B905" s="111" t="s">
        <v>358</v>
      </c>
      <c r="C905" s="113"/>
      <c r="D905" s="113"/>
    </row>
    <row r="906">
      <c r="A906" s="111" t="s">
        <v>9</v>
      </c>
      <c r="B906" s="111" t="s">
        <v>359</v>
      </c>
      <c r="C906" s="113"/>
      <c r="D906" s="113"/>
    </row>
    <row r="907">
      <c r="A907" s="111" t="s">
        <v>9</v>
      </c>
      <c r="B907" s="111" t="s">
        <v>360</v>
      </c>
      <c r="C907" s="113"/>
      <c r="D907" s="113"/>
    </row>
    <row r="908">
      <c r="A908" s="111" t="s">
        <v>9</v>
      </c>
      <c r="B908" s="111" t="s">
        <v>361</v>
      </c>
      <c r="C908" s="113"/>
      <c r="D908" s="113"/>
    </row>
    <row r="909">
      <c r="A909" s="111" t="s">
        <v>9</v>
      </c>
      <c r="B909" s="111" t="s">
        <v>362</v>
      </c>
      <c r="C909" s="113"/>
      <c r="D909" s="113"/>
    </row>
    <row r="910">
      <c r="A910" s="111" t="s">
        <v>9</v>
      </c>
      <c r="B910" s="111" t="s">
        <v>363</v>
      </c>
      <c r="C910" s="113"/>
      <c r="D910" s="113"/>
    </row>
    <row r="911">
      <c r="A911" s="111" t="s">
        <v>9</v>
      </c>
      <c r="B911" s="111" t="s">
        <v>364</v>
      </c>
      <c r="C911" s="113"/>
      <c r="D911" s="113"/>
    </row>
    <row r="912">
      <c r="A912" s="111" t="s">
        <v>9</v>
      </c>
      <c r="B912" s="111" t="s">
        <v>365</v>
      </c>
      <c r="C912" s="113"/>
      <c r="D912" s="113"/>
    </row>
    <row r="913">
      <c r="A913" s="111" t="s">
        <v>9</v>
      </c>
      <c r="B913" s="111" t="s">
        <v>366</v>
      </c>
      <c r="C913" s="113"/>
      <c r="D913" s="113"/>
    </row>
    <row r="914">
      <c r="A914" s="111" t="s">
        <v>9</v>
      </c>
      <c r="B914" s="111" t="s">
        <v>367</v>
      </c>
      <c r="C914" s="113"/>
      <c r="D914" s="113"/>
    </row>
    <row r="915">
      <c r="A915" s="111" t="s">
        <v>9</v>
      </c>
      <c r="B915" s="111" t="s">
        <v>368</v>
      </c>
      <c r="C915" s="113"/>
      <c r="D915" s="113"/>
    </row>
    <row r="916">
      <c r="A916" s="111" t="s">
        <v>9</v>
      </c>
      <c r="B916" s="111" t="s">
        <v>369</v>
      </c>
      <c r="C916" s="113"/>
      <c r="D916" s="113"/>
    </row>
    <row r="917">
      <c r="A917" s="111" t="s">
        <v>9</v>
      </c>
      <c r="B917" s="111" t="s">
        <v>370</v>
      </c>
      <c r="C917" s="113"/>
      <c r="D917" s="113"/>
    </row>
    <row r="918">
      <c r="A918" s="111" t="s">
        <v>9</v>
      </c>
      <c r="B918" s="111" t="s">
        <v>371</v>
      </c>
      <c r="C918" s="113"/>
      <c r="D918" s="113"/>
    </row>
    <row r="919">
      <c r="A919" s="111" t="s">
        <v>9</v>
      </c>
      <c r="B919" s="111" t="s">
        <v>372</v>
      </c>
      <c r="C919" s="113"/>
      <c r="D919" s="113"/>
    </row>
    <row r="920">
      <c r="A920" s="111" t="s">
        <v>9</v>
      </c>
      <c r="B920" s="111" t="s">
        <v>373</v>
      </c>
      <c r="C920" s="113"/>
      <c r="D920" s="113"/>
    </row>
    <row r="921">
      <c r="A921" s="111" t="s">
        <v>9</v>
      </c>
      <c r="B921" s="111" t="s">
        <v>374</v>
      </c>
      <c r="C921" s="113"/>
      <c r="D921" s="113"/>
    </row>
    <row r="922">
      <c r="A922" s="111" t="s">
        <v>9</v>
      </c>
      <c r="B922" s="111" t="s">
        <v>375</v>
      </c>
      <c r="C922" s="113"/>
      <c r="D922" s="113"/>
    </row>
    <row r="923">
      <c r="A923" s="111" t="s">
        <v>9</v>
      </c>
      <c r="B923" s="111" t="s">
        <v>376</v>
      </c>
      <c r="C923" s="113"/>
      <c r="D923" s="113"/>
    </row>
    <row r="924">
      <c r="A924" s="111" t="s">
        <v>9</v>
      </c>
      <c r="B924" s="111" t="s">
        <v>377</v>
      </c>
      <c r="C924" s="113"/>
      <c r="D924" s="113"/>
    </row>
    <row r="925">
      <c r="A925" s="111" t="s">
        <v>9</v>
      </c>
      <c r="B925" s="111" t="s">
        <v>378</v>
      </c>
      <c r="C925" s="113"/>
      <c r="D925" s="113"/>
    </row>
    <row r="926">
      <c r="A926" s="111" t="s">
        <v>9</v>
      </c>
      <c r="B926" s="111" t="s">
        <v>379</v>
      </c>
      <c r="C926" s="113"/>
      <c r="D926" s="113"/>
    </row>
    <row r="927">
      <c r="A927" s="111" t="s">
        <v>9</v>
      </c>
      <c r="B927" s="111" t="s">
        <v>380</v>
      </c>
      <c r="C927" s="113"/>
      <c r="D927" s="113"/>
      <c r="E927" s="107"/>
    </row>
    <row r="928">
      <c r="A928" s="111" t="s">
        <v>9</v>
      </c>
      <c r="B928" s="111" t="s">
        <v>381</v>
      </c>
      <c r="C928" s="113"/>
      <c r="D928" s="113"/>
      <c r="E928" s="107"/>
    </row>
    <row r="929">
      <c r="A929" s="111" t="s">
        <v>9</v>
      </c>
      <c r="B929" s="111" t="s">
        <v>382</v>
      </c>
      <c r="C929" s="113"/>
      <c r="D929" s="113"/>
      <c r="E929" s="107"/>
    </row>
    <row r="930">
      <c r="A930" s="111" t="s">
        <v>9</v>
      </c>
      <c r="B930" s="111" t="s">
        <v>383</v>
      </c>
      <c r="C930" s="113"/>
      <c r="D930" s="117"/>
      <c r="E930" s="107"/>
    </row>
    <row r="931">
      <c r="A931" s="111" t="s">
        <v>9</v>
      </c>
      <c r="B931" s="111" t="s">
        <v>384</v>
      </c>
      <c r="C931" s="113"/>
      <c r="D931" s="117"/>
      <c r="E931" s="107"/>
    </row>
    <row r="932">
      <c r="A932" s="111" t="s">
        <v>9</v>
      </c>
      <c r="B932" s="111" t="s">
        <v>385</v>
      </c>
      <c r="C932" s="113"/>
      <c r="D932" s="117"/>
      <c r="E932" s="107"/>
    </row>
    <row r="933">
      <c r="A933" s="111" t="s">
        <v>9</v>
      </c>
      <c r="B933" s="111" t="s">
        <v>386</v>
      </c>
      <c r="C933" s="113"/>
      <c r="D933" s="117"/>
      <c r="E933" s="107"/>
    </row>
    <row r="934">
      <c r="A934" s="111" t="s">
        <v>9</v>
      </c>
      <c r="B934" s="111" t="s">
        <v>387</v>
      </c>
      <c r="C934" s="117">
        <v>0.22</v>
      </c>
      <c r="D934" s="117">
        <v>-0.05</v>
      </c>
      <c r="E934" s="107">
        <v>21.0</v>
      </c>
    </row>
    <row r="935">
      <c r="A935" s="111" t="s">
        <v>9</v>
      </c>
      <c r="B935" s="111" t="s">
        <v>388</v>
      </c>
      <c r="C935" s="117">
        <v>0.29</v>
      </c>
      <c r="D935" s="117">
        <v>-0.03</v>
      </c>
      <c r="E935" s="107">
        <v>31.0</v>
      </c>
    </row>
    <row r="936">
      <c r="A936" s="111" t="s">
        <v>9</v>
      </c>
      <c r="B936" s="111" t="s">
        <v>389</v>
      </c>
      <c r="C936" s="117">
        <v>0.36</v>
      </c>
      <c r="D936" s="117">
        <v>0.0</v>
      </c>
      <c r="E936" s="107">
        <v>31.0</v>
      </c>
    </row>
    <row r="937">
      <c r="A937" s="111" t="s">
        <v>9</v>
      </c>
      <c r="B937" s="111" t="s">
        <v>390</v>
      </c>
      <c r="C937" s="117">
        <v>0.42</v>
      </c>
      <c r="D937" s="117">
        <v>0.02</v>
      </c>
      <c r="E937" s="107">
        <v>31.0</v>
      </c>
    </row>
    <row r="938">
      <c r="A938" s="111" t="s">
        <v>9</v>
      </c>
      <c r="B938" s="111" t="s">
        <v>391</v>
      </c>
      <c r="C938" s="117">
        <v>0.49</v>
      </c>
      <c r="D938" s="117">
        <v>0.05</v>
      </c>
      <c r="E938" s="107">
        <v>31.0</v>
      </c>
    </row>
    <row r="939">
      <c r="A939" s="111" t="s">
        <v>9</v>
      </c>
      <c r="B939" s="111" t="s">
        <v>392</v>
      </c>
      <c r="C939" s="117">
        <v>0.51</v>
      </c>
      <c r="D939" s="117">
        <v>0.05</v>
      </c>
      <c r="E939" s="107">
        <v>49.0</v>
      </c>
    </row>
    <row r="940">
      <c r="A940" s="111" t="s">
        <v>9</v>
      </c>
      <c r="B940" s="111" t="s">
        <v>393</v>
      </c>
      <c r="C940" s="117">
        <v>0.53</v>
      </c>
      <c r="D940" s="117">
        <v>0.04</v>
      </c>
      <c r="E940" s="107">
        <v>49.0</v>
      </c>
    </row>
    <row r="941">
      <c r="A941" s="111" t="s">
        <v>9</v>
      </c>
      <c r="B941" s="111" t="s">
        <v>394</v>
      </c>
      <c r="C941" s="117">
        <v>0.56</v>
      </c>
      <c r="D941" s="117">
        <v>0.04</v>
      </c>
      <c r="E941" s="107">
        <v>49.0</v>
      </c>
    </row>
    <row r="942">
      <c r="A942" s="111" t="s">
        <v>9</v>
      </c>
      <c r="B942" s="111" t="s">
        <v>395</v>
      </c>
      <c r="C942" s="117">
        <v>0.58</v>
      </c>
      <c r="D942" s="117">
        <v>0.03</v>
      </c>
      <c r="E942" s="107">
        <v>49.0</v>
      </c>
    </row>
    <row r="943">
      <c r="A943" s="111" t="s">
        <v>9</v>
      </c>
      <c r="B943" s="111" t="s">
        <v>396</v>
      </c>
      <c r="C943" s="117">
        <v>0.47</v>
      </c>
      <c r="D943" s="117">
        <v>0.01</v>
      </c>
      <c r="E943" s="107">
        <v>57.0</v>
      </c>
    </row>
    <row r="944">
      <c r="A944" s="111" t="s">
        <v>9</v>
      </c>
      <c r="B944" s="111" t="s">
        <v>397</v>
      </c>
      <c r="C944" s="117">
        <v>0.37</v>
      </c>
      <c r="D944" s="117">
        <v>-0.01</v>
      </c>
      <c r="E944" s="107">
        <v>57.0</v>
      </c>
    </row>
    <row r="945">
      <c r="A945" s="111" t="s">
        <v>9</v>
      </c>
      <c r="B945" s="111" t="s">
        <v>398</v>
      </c>
      <c r="C945" s="117">
        <v>0.27</v>
      </c>
      <c r="D945" s="117">
        <v>-0.04</v>
      </c>
      <c r="E945" s="107">
        <v>57.0</v>
      </c>
    </row>
    <row r="946">
      <c r="A946" s="111" t="s">
        <v>9</v>
      </c>
      <c r="B946" s="111" t="s">
        <v>399</v>
      </c>
      <c r="C946" s="117">
        <v>0.16</v>
      </c>
      <c r="D946" s="117">
        <v>-0.06</v>
      </c>
      <c r="E946" s="107">
        <v>57.0</v>
      </c>
    </row>
    <row r="947">
      <c r="A947" s="111" t="s">
        <v>9</v>
      </c>
      <c r="B947" s="111" t="s">
        <v>400</v>
      </c>
      <c r="C947" s="117">
        <v>0.15</v>
      </c>
      <c r="D947" s="117">
        <v>-0.06</v>
      </c>
      <c r="E947" s="107">
        <v>64.0</v>
      </c>
    </row>
    <row r="948">
      <c r="A948" s="111" t="s">
        <v>9</v>
      </c>
      <c r="B948" s="111" t="s">
        <v>401</v>
      </c>
      <c r="C948" s="117">
        <v>0.14</v>
      </c>
      <c r="D948" s="117">
        <v>-0.05</v>
      </c>
      <c r="E948" s="107">
        <v>64.0</v>
      </c>
    </row>
    <row r="949">
      <c r="A949" s="111" t="s">
        <v>9</v>
      </c>
      <c r="B949" s="111" t="s">
        <v>402</v>
      </c>
      <c r="C949" s="117">
        <v>0.13</v>
      </c>
      <c r="D949" s="117">
        <v>-0.04</v>
      </c>
      <c r="E949" s="107">
        <v>64.0</v>
      </c>
    </row>
    <row r="950">
      <c r="A950" s="111" t="s">
        <v>9</v>
      </c>
      <c r="B950" s="111" t="s">
        <v>403</v>
      </c>
      <c r="C950" s="117">
        <v>0.12</v>
      </c>
      <c r="D950" s="117">
        <v>-0.04</v>
      </c>
      <c r="E950" s="107">
        <v>64.0</v>
      </c>
    </row>
    <row r="951">
      <c r="A951" s="111" t="s">
        <v>9</v>
      </c>
      <c r="B951" s="111" t="s">
        <v>404</v>
      </c>
      <c r="C951" s="117">
        <v>0.13</v>
      </c>
      <c r="D951" s="117">
        <v>-0.03</v>
      </c>
      <c r="E951" s="107">
        <v>75.0</v>
      </c>
    </row>
    <row r="952">
      <c r="A952" s="111" t="s">
        <v>9</v>
      </c>
      <c r="B952" s="111" t="s">
        <v>405</v>
      </c>
      <c r="C952" s="117">
        <v>0.15</v>
      </c>
      <c r="D952" s="117">
        <v>-0.03</v>
      </c>
      <c r="E952" s="107">
        <v>75.0</v>
      </c>
    </row>
    <row r="953">
      <c r="A953" s="111" t="s">
        <v>9</v>
      </c>
      <c r="B953" s="111" t="s">
        <v>406</v>
      </c>
      <c r="C953" s="117">
        <v>0.16</v>
      </c>
      <c r="D953" s="117">
        <v>-0.03</v>
      </c>
      <c r="E953" s="107">
        <v>75.0</v>
      </c>
    </row>
    <row r="954">
      <c r="A954" s="111" t="s">
        <v>9</v>
      </c>
      <c r="B954" s="111" t="s">
        <v>407</v>
      </c>
      <c r="C954" s="117">
        <v>0.17</v>
      </c>
      <c r="D954" s="117">
        <v>-0.02</v>
      </c>
      <c r="E954" s="107">
        <v>75.0</v>
      </c>
    </row>
    <row r="955">
      <c r="A955" s="111" t="s">
        <v>9</v>
      </c>
      <c r="B955" s="111" t="s">
        <v>408</v>
      </c>
      <c r="C955" s="117">
        <v>0.16</v>
      </c>
      <c r="D955" s="117">
        <v>-0.06</v>
      </c>
      <c r="E955" s="107">
        <v>84.0</v>
      </c>
    </row>
    <row r="956">
      <c r="A956" s="111" t="s">
        <v>9</v>
      </c>
      <c r="B956" s="111" t="s">
        <v>409</v>
      </c>
      <c r="C956" s="117">
        <v>0.15</v>
      </c>
      <c r="D956" s="117">
        <v>-0.09</v>
      </c>
      <c r="E956" s="107">
        <v>84.0</v>
      </c>
    </row>
    <row r="957">
      <c r="A957" s="111" t="s">
        <v>9</v>
      </c>
      <c r="B957" s="111" t="s">
        <v>410</v>
      </c>
      <c r="C957" s="117">
        <v>0.13</v>
      </c>
      <c r="D957" s="117">
        <v>-0.13</v>
      </c>
      <c r="E957" s="107">
        <v>84.0</v>
      </c>
    </row>
    <row r="958">
      <c r="A958" s="111" t="s">
        <v>9</v>
      </c>
      <c r="B958" s="111" t="s">
        <v>411</v>
      </c>
      <c r="C958" s="117">
        <v>0.13</v>
      </c>
      <c r="D958" s="117">
        <v>-0.27</v>
      </c>
      <c r="E958" s="107">
        <v>88.0</v>
      </c>
    </row>
    <row r="959">
      <c r="A959" s="111" t="s">
        <v>9</v>
      </c>
      <c r="B959" s="111" t="s">
        <v>412</v>
      </c>
      <c r="C959" s="117">
        <v>0.21</v>
      </c>
      <c r="D959" s="117">
        <v>-0.25</v>
      </c>
      <c r="E959" s="107">
        <v>121.0</v>
      </c>
    </row>
    <row r="960">
      <c r="A960" s="111" t="s">
        <v>9</v>
      </c>
      <c r="B960" s="111" t="s">
        <v>413</v>
      </c>
      <c r="C960" s="117">
        <v>0.18</v>
      </c>
      <c r="D960" s="117">
        <v>-0.33</v>
      </c>
      <c r="E960" s="107">
        <v>83.0</v>
      </c>
    </row>
    <row r="961">
      <c r="A961" s="111" t="s">
        <v>9</v>
      </c>
      <c r="B961" s="111" t="s">
        <v>414</v>
      </c>
      <c r="C961" s="117">
        <v>0.26</v>
      </c>
      <c r="D961" s="117">
        <v>-0.26</v>
      </c>
      <c r="E961" s="107">
        <v>123.0</v>
      </c>
    </row>
    <row r="962">
      <c r="A962" s="111" t="s">
        <v>9</v>
      </c>
      <c r="B962" s="111" t="s">
        <v>415</v>
      </c>
      <c r="C962" s="117">
        <v>0.31</v>
      </c>
      <c r="D962" s="117">
        <v>-0.27</v>
      </c>
      <c r="E962" s="107">
        <v>120.0</v>
      </c>
    </row>
    <row r="963">
      <c r="A963" s="111" t="s">
        <v>9</v>
      </c>
      <c r="B963" s="111" t="s">
        <v>416</v>
      </c>
      <c r="C963" s="117">
        <v>0.35</v>
      </c>
      <c r="D963" s="117">
        <v>-0.33</v>
      </c>
      <c r="E963" s="107">
        <v>192.0</v>
      </c>
    </row>
    <row r="964">
      <c r="A964" s="111" t="s">
        <v>9</v>
      </c>
      <c r="B964" s="111" t="s">
        <v>417</v>
      </c>
      <c r="C964" s="117">
        <v>0.56</v>
      </c>
      <c r="D964" s="117">
        <v>-0.31</v>
      </c>
      <c r="E964" s="107">
        <v>153.0</v>
      </c>
    </row>
    <row r="965">
      <c r="A965" s="111" t="s">
        <v>9</v>
      </c>
      <c r="B965" s="111" t="s">
        <v>418</v>
      </c>
      <c r="C965" s="117">
        <v>0.55</v>
      </c>
      <c r="D965" s="117">
        <v>-0.41</v>
      </c>
      <c r="E965" s="107">
        <v>172.0</v>
      </c>
    </row>
    <row r="966">
      <c r="A966" s="111" t="s">
        <v>9</v>
      </c>
      <c r="B966" s="111" t="s">
        <v>419</v>
      </c>
      <c r="C966" s="117">
        <v>0.54</v>
      </c>
      <c r="D966" s="117">
        <v>-0.33</v>
      </c>
      <c r="E966" s="107">
        <v>158.0</v>
      </c>
    </row>
    <row r="967">
      <c r="A967" s="111" t="s">
        <v>9</v>
      </c>
      <c r="B967" s="111" t="s">
        <v>420</v>
      </c>
      <c r="C967" s="117">
        <v>0.32</v>
      </c>
      <c r="D967" s="117">
        <v>-0.33</v>
      </c>
      <c r="E967" s="107">
        <v>137.0</v>
      </c>
    </row>
    <row r="968">
      <c r="A968" s="111" t="s">
        <v>9</v>
      </c>
      <c r="B968" s="111" t="s">
        <v>421</v>
      </c>
      <c r="C968" s="117">
        <v>0.03</v>
      </c>
      <c r="D968" s="117">
        <v>-0.34</v>
      </c>
      <c r="E968" s="107">
        <v>104.0</v>
      </c>
    </row>
    <row r="969">
      <c r="A969" s="111" t="s">
        <v>9</v>
      </c>
      <c r="B969" s="111" t="s">
        <v>422</v>
      </c>
      <c r="C969" s="117">
        <v>-0.14</v>
      </c>
      <c r="D969" s="117">
        <v>-0.34</v>
      </c>
      <c r="E969" s="107">
        <v>125.0</v>
      </c>
    </row>
    <row r="970">
      <c r="A970" s="111" t="s">
        <v>9</v>
      </c>
      <c r="B970" s="111" t="s">
        <v>423</v>
      </c>
      <c r="C970" s="117">
        <v>-0.28</v>
      </c>
      <c r="D970" s="117">
        <v>-0.35</v>
      </c>
      <c r="E970" s="107">
        <v>120.0</v>
      </c>
    </row>
    <row r="971">
      <c r="A971" s="111" t="s">
        <v>9</v>
      </c>
      <c r="B971" s="111" t="s">
        <v>424</v>
      </c>
      <c r="C971" s="117">
        <v>-0.2</v>
      </c>
      <c r="D971" s="117">
        <v>-0.33</v>
      </c>
      <c r="E971" s="107">
        <v>142.0</v>
      </c>
    </row>
    <row r="972">
      <c r="A972" s="111" t="s">
        <v>9</v>
      </c>
      <c r="B972" s="111" t="s">
        <v>425</v>
      </c>
      <c r="C972" s="117">
        <v>-0.09</v>
      </c>
      <c r="D972" s="117">
        <v>-0.3</v>
      </c>
      <c r="E972" s="107">
        <v>118.0</v>
      </c>
    </row>
    <row r="973">
      <c r="A973" s="111" t="s">
        <v>9</v>
      </c>
      <c r="B973" s="111" t="s">
        <v>426</v>
      </c>
      <c r="C973" s="117">
        <v>0.03</v>
      </c>
      <c r="D973" s="117">
        <v>-0.29</v>
      </c>
      <c r="E973" s="107">
        <v>147.0</v>
      </c>
    </row>
    <row r="974">
      <c r="A974" s="111" t="s">
        <v>9</v>
      </c>
      <c r="B974" s="111" t="s">
        <v>427</v>
      </c>
      <c r="C974" s="117">
        <v>0.06</v>
      </c>
      <c r="D974" s="117">
        <v>-0.5</v>
      </c>
      <c r="E974" s="107">
        <v>105.0</v>
      </c>
    </row>
    <row r="975">
      <c r="A975" s="111" t="s">
        <v>9</v>
      </c>
      <c r="B975" s="111" t="s">
        <v>428</v>
      </c>
      <c r="C975" s="117">
        <v>-0.19</v>
      </c>
      <c r="D975" s="117">
        <v>-0.5</v>
      </c>
      <c r="E975" s="107">
        <v>6.0</v>
      </c>
    </row>
    <row r="976">
      <c r="A976" s="111" t="s">
        <v>9</v>
      </c>
      <c r="B976" s="111" t="s">
        <v>429</v>
      </c>
      <c r="C976" s="117">
        <v>-0.3</v>
      </c>
      <c r="D976" s="117">
        <v>-0.5</v>
      </c>
      <c r="E976" s="107">
        <v>23.0</v>
      </c>
    </row>
    <row r="977">
      <c r="A977" s="111" t="s">
        <v>9</v>
      </c>
      <c r="B977" s="111" t="s">
        <v>430</v>
      </c>
      <c r="C977" s="117">
        <v>-0.3</v>
      </c>
      <c r="D977" s="117">
        <v>-0.5</v>
      </c>
      <c r="E977" s="107">
        <v>57.0</v>
      </c>
    </row>
    <row r="978">
      <c r="A978" s="111" t="s">
        <v>9</v>
      </c>
      <c r="B978" s="111" t="s">
        <v>431</v>
      </c>
      <c r="C978" s="117">
        <v>-0.3</v>
      </c>
      <c r="D978" s="117">
        <v>-0.5</v>
      </c>
      <c r="E978" s="107">
        <v>79.0</v>
      </c>
    </row>
    <row r="979">
      <c r="A979" s="111" t="s">
        <v>9</v>
      </c>
      <c r="B979" s="111" t="s">
        <v>432</v>
      </c>
      <c r="C979" s="117">
        <v>0.62</v>
      </c>
      <c r="D979" s="117">
        <v>-0.44</v>
      </c>
      <c r="E979" s="107">
        <v>33.0</v>
      </c>
    </row>
    <row r="980">
      <c r="A980" s="111" t="s">
        <v>9</v>
      </c>
      <c r="B980" s="111" t="s">
        <v>433</v>
      </c>
      <c r="C980" s="117">
        <v>1.0</v>
      </c>
      <c r="D980" s="117">
        <v>-0.24</v>
      </c>
      <c r="E980" s="107">
        <v>67.0</v>
      </c>
    </row>
    <row r="981">
      <c r="A981" s="111" t="s">
        <v>9</v>
      </c>
      <c r="B981" s="111" t="s">
        <v>434</v>
      </c>
      <c r="C981" s="117">
        <v>1.0</v>
      </c>
      <c r="D981" s="117">
        <v>-0.25</v>
      </c>
      <c r="E981" s="107">
        <v>115.0</v>
      </c>
    </row>
    <row r="982">
      <c r="A982" s="111" t="s">
        <v>9</v>
      </c>
      <c r="B982" s="111" t="s">
        <v>435</v>
      </c>
      <c r="C982" s="117">
        <v>1.0</v>
      </c>
      <c r="D982" s="117">
        <v>-0.25</v>
      </c>
      <c r="E982" s="107">
        <v>89.0</v>
      </c>
    </row>
    <row r="983">
      <c r="A983" s="111" t="s">
        <v>9</v>
      </c>
      <c r="B983" s="111" t="s">
        <v>436</v>
      </c>
      <c r="C983" s="117">
        <v>1.0</v>
      </c>
      <c r="D983" s="117">
        <v>-0.08</v>
      </c>
      <c r="E983" s="107">
        <v>143.0</v>
      </c>
    </row>
    <row r="984">
      <c r="A984" s="111" t="s">
        <v>9</v>
      </c>
      <c r="B984" s="111" t="s">
        <v>437</v>
      </c>
      <c r="C984" s="117">
        <v>1.0</v>
      </c>
      <c r="D984" s="117">
        <v>-0.06</v>
      </c>
      <c r="E984" s="107">
        <v>131.0</v>
      </c>
    </row>
    <row r="985">
      <c r="A985" s="111" t="s">
        <v>9</v>
      </c>
      <c r="B985" s="111" t="s">
        <v>438</v>
      </c>
      <c r="C985" s="117">
        <v>1.0</v>
      </c>
      <c r="D985" s="117">
        <v>-0.04</v>
      </c>
      <c r="E985" s="107">
        <v>171.0</v>
      </c>
    </row>
    <row r="986">
      <c r="A986" s="111" t="s">
        <v>9</v>
      </c>
      <c r="B986" s="111" t="s">
        <v>439</v>
      </c>
      <c r="C986" s="117">
        <v>1.0</v>
      </c>
      <c r="D986" s="117">
        <v>-0.02</v>
      </c>
      <c r="E986" s="107">
        <v>149.0</v>
      </c>
    </row>
    <row r="987">
      <c r="A987" s="111" t="s">
        <v>9</v>
      </c>
      <c r="B987" s="111" t="s">
        <v>440</v>
      </c>
      <c r="C987" s="117">
        <v>0.62</v>
      </c>
      <c r="D987" s="117">
        <v>0.02</v>
      </c>
      <c r="E987" s="107">
        <v>197.0</v>
      </c>
    </row>
    <row r="988">
      <c r="A988" s="111" t="s">
        <v>9</v>
      </c>
      <c r="B988" s="111" t="s">
        <v>441</v>
      </c>
      <c r="C988" s="117">
        <v>0.46</v>
      </c>
      <c r="D988" s="117">
        <v>0.04</v>
      </c>
      <c r="E988" s="107">
        <v>169.0</v>
      </c>
    </row>
    <row r="989">
      <c r="A989" s="111" t="s">
        <v>9</v>
      </c>
      <c r="B989" s="111" t="s">
        <v>442</v>
      </c>
      <c r="C989" s="117">
        <v>0.4</v>
      </c>
      <c r="D989" s="117">
        <v>0.06</v>
      </c>
      <c r="E989" s="107">
        <v>214.0</v>
      </c>
    </row>
    <row r="990">
      <c r="A990" s="111" t="s">
        <v>9</v>
      </c>
      <c r="B990" s="111" t="s">
        <v>443</v>
      </c>
      <c r="C990" s="117">
        <v>0.32</v>
      </c>
      <c r="D990" s="117">
        <v>0.11</v>
      </c>
      <c r="E990" s="107">
        <v>203.0</v>
      </c>
    </row>
    <row r="991">
      <c r="A991" s="111" t="s">
        <v>9</v>
      </c>
      <c r="B991" s="111" t="s">
        <v>444</v>
      </c>
      <c r="C991" s="117">
        <v>0.3</v>
      </c>
      <c r="D991" s="117">
        <v>0.12</v>
      </c>
      <c r="E991" s="107">
        <v>255.0</v>
      </c>
    </row>
    <row r="992">
      <c r="A992" s="111" t="s">
        <v>10</v>
      </c>
      <c r="B992" s="111" t="s">
        <v>335</v>
      </c>
      <c r="C992" s="113"/>
      <c r="D992" s="113"/>
    </row>
    <row r="993">
      <c r="A993" s="111" t="s">
        <v>10</v>
      </c>
      <c r="B993" s="111" t="s">
        <v>336</v>
      </c>
      <c r="C993" s="113"/>
      <c r="D993" s="113"/>
    </row>
    <row r="994">
      <c r="A994" s="111" t="s">
        <v>10</v>
      </c>
      <c r="B994" s="111" t="s">
        <v>337</v>
      </c>
      <c r="C994" s="113"/>
      <c r="D994" s="113"/>
    </row>
    <row r="995">
      <c r="A995" s="111" t="s">
        <v>10</v>
      </c>
      <c r="B995" s="111" t="s">
        <v>338</v>
      </c>
      <c r="C995" s="113"/>
      <c r="D995" s="113"/>
    </row>
    <row r="996">
      <c r="A996" s="111" t="s">
        <v>10</v>
      </c>
      <c r="B996" s="111" t="s">
        <v>339</v>
      </c>
      <c r="C996" s="113"/>
      <c r="D996" s="113"/>
    </row>
    <row r="997">
      <c r="A997" s="111" t="s">
        <v>10</v>
      </c>
      <c r="B997" s="111" t="s">
        <v>340</v>
      </c>
      <c r="C997" s="113"/>
      <c r="D997" s="113"/>
    </row>
    <row r="998">
      <c r="A998" s="111" t="s">
        <v>10</v>
      </c>
      <c r="B998" s="111" t="s">
        <v>341</v>
      </c>
      <c r="C998" s="113"/>
      <c r="D998" s="113"/>
    </row>
    <row r="999">
      <c r="A999" s="111" t="s">
        <v>10</v>
      </c>
      <c r="B999" s="111" t="s">
        <v>342</v>
      </c>
      <c r="C999" s="113"/>
      <c r="D999" s="113"/>
    </row>
    <row r="1000">
      <c r="A1000" s="111" t="s">
        <v>10</v>
      </c>
      <c r="B1000" s="111" t="s">
        <v>343</v>
      </c>
      <c r="C1000" s="113"/>
      <c r="D1000" s="113"/>
    </row>
    <row r="1001">
      <c r="A1001" s="111" t="s">
        <v>10</v>
      </c>
      <c r="B1001" s="111" t="s">
        <v>344</v>
      </c>
      <c r="C1001" s="113"/>
      <c r="D1001" s="113"/>
    </row>
    <row r="1002">
      <c r="A1002" s="111" t="s">
        <v>10</v>
      </c>
      <c r="B1002" s="111" t="s">
        <v>345</v>
      </c>
      <c r="C1002" s="113"/>
      <c r="D1002" s="113"/>
    </row>
    <row r="1003">
      <c r="A1003" s="111" t="s">
        <v>10</v>
      </c>
      <c r="B1003" s="111" t="s">
        <v>346</v>
      </c>
      <c r="C1003" s="113"/>
      <c r="D1003" s="113"/>
    </row>
    <row r="1004">
      <c r="A1004" s="111" t="s">
        <v>10</v>
      </c>
      <c r="B1004" s="111" t="s">
        <v>347</v>
      </c>
      <c r="C1004" s="113"/>
      <c r="D1004" s="113"/>
    </row>
    <row r="1005">
      <c r="A1005" s="111" t="s">
        <v>10</v>
      </c>
      <c r="B1005" s="111" t="s">
        <v>348</v>
      </c>
      <c r="C1005" s="113"/>
      <c r="D1005" s="113"/>
    </row>
    <row r="1006">
      <c r="A1006" s="111" t="s">
        <v>10</v>
      </c>
      <c r="B1006" s="111" t="s">
        <v>349</v>
      </c>
      <c r="C1006" s="113"/>
      <c r="D1006" s="113"/>
    </row>
    <row r="1007">
      <c r="A1007" s="111" t="s">
        <v>10</v>
      </c>
      <c r="B1007" s="111" t="s">
        <v>350</v>
      </c>
      <c r="C1007" s="113"/>
      <c r="D1007" s="113"/>
    </row>
    <row r="1008">
      <c r="A1008" s="111" t="s">
        <v>10</v>
      </c>
      <c r="B1008" s="111" t="s">
        <v>351</v>
      </c>
      <c r="C1008" s="113"/>
      <c r="D1008" s="113"/>
    </row>
    <row r="1009">
      <c r="A1009" s="111" t="s">
        <v>10</v>
      </c>
      <c r="B1009" s="111" t="s">
        <v>352</v>
      </c>
      <c r="C1009" s="113"/>
      <c r="D1009" s="113"/>
    </row>
    <row r="1010">
      <c r="A1010" s="111" t="s">
        <v>10</v>
      </c>
      <c r="B1010" s="111" t="s">
        <v>353</v>
      </c>
      <c r="C1010" s="113"/>
      <c r="D1010" s="113"/>
    </row>
    <row r="1011">
      <c r="A1011" s="111" t="s">
        <v>10</v>
      </c>
      <c r="B1011" s="111" t="s">
        <v>354</v>
      </c>
      <c r="C1011" s="113"/>
      <c r="D1011" s="113"/>
    </row>
    <row r="1012">
      <c r="A1012" s="111" t="s">
        <v>10</v>
      </c>
      <c r="B1012" s="111" t="s">
        <v>355</v>
      </c>
      <c r="C1012" s="113"/>
      <c r="D1012" s="113"/>
    </row>
    <row r="1013">
      <c r="A1013" s="111" t="s">
        <v>10</v>
      </c>
      <c r="B1013" s="111" t="s">
        <v>356</v>
      </c>
      <c r="C1013" s="113"/>
      <c r="D1013" s="113"/>
    </row>
    <row r="1014">
      <c r="A1014" s="111" t="s">
        <v>10</v>
      </c>
      <c r="B1014" s="111" t="s">
        <v>357</v>
      </c>
      <c r="C1014" s="113"/>
      <c r="D1014" s="113"/>
    </row>
    <row r="1015">
      <c r="A1015" s="111" t="s">
        <v>10</v>
      </c>
      <c r="B1015" s="111" t="s">
        <v>358</v>
      </c>
      <c r="C1015" s="113"/>
      <c r="D1015" s="113"/>
    </row>
    <row r="1016">
      <c r="A1016" s="111" t="s">
        <v>10</v>
      </c>
      <c r="B1016" s="111" t="s">
        <v>359</v>
      </c>
      <c r="C1016" s="113"/>
      <c r="D1016" s="113"/>
    </row>
    <row r="1017">
      <c r="A1017" s="111" t="s">
        <v>10</v>
      </c>
      <c r="B1017" s="111" t="s">
        <v>360</v>
      </c>
      <c r="C1017" s="113"/>
      <c r="D1017" s="113"/>
    </row>
    <row r="1018">
      <c r="A1018" s="111" t="s">
        <v>10</v>
      </c>
      <c r="B1018" s="111" t="s">
        <v>361</v>
      </c>
      <c r="C1018" s="113"/>
      <c r="D1018" s="113"/>
    </row>
    <row r="1019">
      <c r="A1019" s="111" t="s">
        <v>10</v>
      </c>
      <c r="B1019" s="111" t="s">
        <v>362</v>
      </c>
      <c r="C1019" s="113"/>
      <c r="D1019" s="113"/>
    </row>
    <row r="1020">
      <c r="A1020" s="111" t="s">
        <v>10</v>
      </c>
      <c r="B1020" s="111" t="s">
        <v>363</v>
      </c>
      <c r="C1020" s="113"/>
      <c r="D1020" s="113"/>
    </row>
    <row r="1021">
      <c r="A1021" s="111" t="s">
        <v>10</v>
      </c>
      <c r="B1021" s="111" t="s">
        <v>364</v>
      </c>
      <c r="C1021" s="113"/>
      <c r="D1021" s="113"/>
    </row>
    <row r="1022">
      <c r="A1022" s="111" t="s">
        <v>10</v>
      </c>
      <c r="B1022" s="111" t="s">
        <v>365</v>
      </c>
      <c r="C1022" s="113"/>
      <c r="D1022" s="113"/>
    </row>
    <row r="1023">
      <c r="A1023" s="111" t="s">
        <v>10</v>
      </c>
      <c r="B1023" s="111" t="s">
        <v>366</v>
      </c>
      <c r="C1023" s="113"/>
      <c r="D1023" s="113"/>
    </row>
    <row r="1024">
      <c r="A1024" s="111" t="s">
        <v>10</v>
      </c>
      <c r="B1024" s="111" t="s">
        <v>367</v>
      </c>
      <c r="C1024" s="113"/>
      <c r="D1024" s="113"/>
    </row>
    <row r="1025">
      <c r="A1025" s="111" t="s">
        <v>10</v>
      </c>
      <c r="B1025" s="111" t="s">
        <v>368</v>
      </c>
      <c r="C1025" s="113"/>
      <c r="D1025" s="113"/>
    </row>
    <row r="1026">
      <c r="A1026" s="111" t="s">
        <v>10</v>
      </c>
      <c r="B1026" s="111" t="s">
        <v>369</v>
      </c>
      <c r="C1026" s="113"/>
      <c r="D1026" s="113"/>
    </row>
    <row r="1027">
      <c r="A1027" s="111" t="s">
        <v>10</v>
      </c>
      <c r="B1027" s="111" t="s">
        <v>370</v>
      </c>
      <c r="C1027" s="113"/>
      <c r="D1027" s="113"/>
    </row>
    <row r="1028">
      <c r="A1028" s="111" t="s">
        <v>10</v>
      </c>
      <c r="B1028" s="111" t="s">
        <v>371</v>
      </c>
      <c r="C1028" s="113"/>
      <c r="D1028" s="113"/>
    </row>
    <row r="1029">
      <c r="A1029" s="111" t="s">
        <v>10</v>
      </c>
      <c r="B1029" s="111" t="s">
        <v>372</v>
      </c>
      <c r="C1029" s="113"/>
      <c r="D1029" s="113"/>
    </row>
    <row r="1030">
      <c r="A1030" s="111" t="s">
        <v>10</v>
      </c>
      <c r="B1030" s="111" t="s">
        <v>373</v>
      </c>
      <c r="C1030" s="113"/>
      <c r="D1030" s="113"/>
    </row>
    <row r="1031">
      <c r="A1031" s="111" t="s">
        <v>10</v>
      </c>
      <c r="B1031" s="111" t="s">
        <v>374</v>
      </c>
      <c r="C1031" s="113"/>
      <c r="D1031" s="113"/>
    </row>
    <row r="1032">
      <c r="A1032" s="111" t="s">
        <v>10</v>
      </c>
      <c r="B1032" s="111" t="s">
        <v>375</v>
      </c>
      <c r="C1032" s="113"/>
      <c r="D1032" s="113"/>
    </row>
    <row r="1033">
      <c r="A1033" s="111" t="s">
        <v>10</v>
      </c>
      <c r="B1033" s="111" t="s">
        <v>376</v>
      </c>
      <c r="C1033" s="113"/>
      <c r="D1033" s="113"/>
    </row>
    <row r="1034">
      <c r="A1034" s="111" t="s">
        <v>10</v>
      </c>
      <c r="B1034" s="111" t="s">
        <v>377</v>
      </c>
      <c r="C1034" s="113"/>
      <c r="D1034" s="113"/>
    </row>
    <row r="1035">
      <c r="A1035" s="111" t="s">
        <v>10</v>
      </c>
      <c r="B1035" s="111" t="s">
        <v>378</v>
      </c>
      <c r="C1035" s="113"/>
      <c r="D1035" s="113"/>
    </row>
    <row r="1036">
      <c r="A1036" s="111" t="s">
        <v>10</v>
      </c>
      <c r="B1036" s="111" t="s">
        <v>379</v>
      </c>
      <c r="C1036" s="113"/>
      <c r="D1036" s="113"/>
    </row>
    <row r="1037">
      <c r="A1037" s="111" t="s">
        <v>10</v>
      </c>
      <c r="B1037" s="111" t="s">
        <v>380</v>
      </c>
      <c r="C1037" s="113"/>
      <c r="D1037" s="113"/>
    </row>
    <row r="1038">
      <c r="A1038" s="111" t="s">
        <v>10</v>
      </c>
      <c r="B1038" s="111" t="s">
        <v>381</v>
      </c>
      <c r="C1038" s="113"/>
      <c r="D1038" s="113"/>
    </row>
    <row r="1039">
      <c r="A1039" s="111" t="s">
        <v>10</v>
      </c>
      <c r="B1039" s="111" t="s">
        <v>382</v>
      </c>
      <c r="C1039" s="113"/>
      <c r="D1039" s="113"/>
    </row>
    <row r="1040">
      <c r="A1040" s="111" t="s">
        <v>10</v>
      </c>
      <c r="B1040" s="111" t="s">
        <v>383</v>
      </c>
      <c r="C1040" s="113"/>
      <c r="D1040" s="113"/>
    </row>
    <row r="1041">
      <c r="A1041" s="111" t="s">
        <v>10</v>
      </c>
      <c r="B1041" s="111" t="s">
        <v>384</v>
      </c>
      <c r="C1041" s="113"/>
      <c r="D1041" s="113"/>
    </row>
    <row r="1042">
      <c r="A1042" s="111" t="s">
        <v>10</v>
      </c>
      <c r="B1042" s="111" t="s">
        <v>385</v>
      </c>
      <c r="C1042" s="113"/>
      <c r="D1042" s="113"/>
    </row>
    <row r="1043">
      <c r="A1043" s="111" t="s">
        <v>10</v>
      </c>
      <c r="B1043" s="111" t="s">
        <v>386</v>
      </c>
      <c r="C1043" s="113"/>
      <c r="D1043" s="113"/>
    </row>
    <row r="1044">
      <c r="A1044" s="111" t="s">
        <v>10</v>
      </c>
      <c r="B1044" s="111" t="s">
        <v>387</v>
      </c>
      <c r="C1044" s="113"/>
      <c r="D1044" s="113"/>
    </row>
    <row r="1045">
      <c r="A1045" s="111" t="s">
        <v>10</v>
      </c>
      <c r="B1045" s="111" t="s">
        <v>388</v>
      </c>
      <c r="C1045" s="113"/>
      <c r="D1045" s="113"/>
    </row>
    <row r="1046">
      <c r="A1046" s="111" t="s">
        <v>10</v>
      </c>
      <c r="B1046" s="111" t="s">
        <v>389</v>
      </c>
      <c r="C1046" s="113"/>
      <c r="D1046" s="113"/>
    </row>
    <row r="1047">
      <c r="A1047" s="111" t="s">
        <v>10</v>
      </c>
      <c r="B1047" s="111" t="s">
        <v>390</v>
      </c>
      <c r="C1047" s="113"/>
      <c r="D1047" s="113"/>
    </row>
    <row r="1048">
      <c r="A1048" s="111" t="s">
        <v>10</v>
      </c>
      <c r="B1048" s="111" t="s">
        <v>391</v>
      </c>
      <c r="C1048" s="113"/>
      <c r="D1048" s="113"/>
    </row>
    <row r="1049">
      <c r="A1049" s="111" t="s">
        <v>10</v>
      </c>
      <c r="B1049" s="111" t="s">
        <v>392</v>
      </c>
      <c r="C1049" s="113"/>
      <c r="D1049" s="113"/>
    </row>
    <row r="1050">
      <c r="A1050" s="111" t="s">
        <v>10</v>
      </c>
      <c r="B1050" s="111" t="s">
        <v>393</v>
      </c>
      <c r="C1050" s="113"/>
      <c r="D1050" s="113"/>
    </row>
    <row r="1051">
      <c r="A1051" s="111" t="s">
        <v>10</v>
      </c>
      <c r="B1051" s="111" t="s">
        <v>394</v>
      </c>
      <c r="C1051" s="113"/>
      <c r="D1051" s="113"/>
    </row>
    <row r="1052">
      <c r="A1052" s="111" t="s">
        <v>10</v>
      </c>
      <c r="B1052" s="111" t="s">
        <v>395</v>
      </c>
      <c r="C1052" s="113"/>
      <c r="D1052" s="113"/>
    </row>
    <row r="1053">
      <c r="A1053" s="111" t="s">
        <v>10</v>
      </c>
      <c r="B1053" s="111" t="s">
        <v>396</v>
      </c>
      <c r="C1053" s="113"/>
      <c r="D1053" s="113"/>
    </row>
    <row r="1054">
      <c r="A1054" s="111" t="s">
        <v>10</v>
      </c>
      <c r="B1054" s="111" t="s">
        <v>397</v>
      </c>
      <c r="C1054" s="113"/>
      <c r="D1054" s="113"/>
    </row>
    <row r="1055">
      <c r="A1055" s="111" t="s">
        <v>10</v>
      </c>
      <c r="B1055" s="111" t="s">
        <v>398</v>
      </c>
      <c r="C1055" s="113"/>
      <c r="D1055" s="113"/>
    </row>
    <row r="1056">
      <c r="A1056" s="111" t="s">
        <v>10</v>
      </c>
      <c r="B1056" s="111" t="s">
        <v>399</v>
      </c>
      <c r="C1056" s="113"/>
      <c r="D1056" s="113"/>
    </row>
    <row r="1057">
      <c r="A1057" s="111" t="s">
        <v>10</v>
      </c>
      <c r="B1057" s="111" t="s">
        <v>400</v>
      </c>
      <c r="C1057" s="113"/>
      <c r="D1057" s="113"/>
    </row>
    <row r="1058">
      <c r="A1058" s="111" t="s">
        <v>10</v>
      </c>
      <c r="B1058" s="111" t="s">
        <v>401</v>
      </c>
      <c r="C1058" s="113"/>
      <c r="D1058" s="113"/>
    </row>
    <row r="1059">
      <c r="A1059" s="111" t="s">
        <v>10</v>
      </c>
      <c r="B1059" s="111" t="s">
        <v>402</v>
      </c>
      <c r="C1059" s="113"/>
      <c r="D1059" s="113"/>
    </row>
    <row r="1060">
      <c r="A1060" s="111" t="s">
        <v>10</v>
      </c>
      <c r="B1060" s="111" t="s">
        <v>403</v>
      </c>
      <c r="C1060" s="113"/>
      <c r="D1060" s="113"/>
    </row>
    <row r="1061">
      <c r="A1061" s="111" t="s">
        <v>10</v>
      </c>
      <c r="B1061" s="111" t="s">
        <v>404</v>
      </c>
      <c r="C1061" s="113"/>
      <c r="D1061" s="113"/>
    </row>
    <row r="1062">
      <c r="A1062" s="111" t="s">
        <v>10</v>
      </c>
      <c r="B1062" s="111" t="s">
        <v>405</v>
      </c>
      <c r="C1062" s="113"/>
      <c r="D1062" s="113"/>
    </row>
    <row r="1063">
      <c r="A1063" s="111" t="s">
        <v>10</v>
      </c>
      <c r="B1063" s="111" t="s">
        <v>406</v>
      </c>
      <c r="C1063" s="113"/>
      <c r="D1063" s="113"/>
    </row>
    <row r="1064">
      <c r="A1064" s="111" t="s">
        <v>10</v>
      </c>
      <c r="B1064" s="111" t="s">
        <v>407</v>
      </c>
      <c r="C1064" s="113"/>
      <c r="D1064" s="113"/>
    </row>
    <row r="1065">
      <c r="A1065" s="111" t="s">
        <v>10</v>
      </c>
      <c r="B1065" s="111" t="s">
        <v>408</v>
      </c>
      <c r="C1065" s="113"/>
      <c r="D1065" s="113"/>
    </row>
    <row r="1066">
      <c r="A1066" s="111" t="s">
        <v>10</v>
      </c>
      <c r="B1066" s="111" t="s">
        <v>409</v>
      </c>
      <c r="C1066" s="113"/>
      <c r="D1066" s="113"/>
    </row>
    <row r="1067">
      <c r="A1067" s="111" t="s">
        <v>10</v>
      </c>
      <c r="B1067" s="111" t="s">
        <v>410</v>
      </c>
      <c r="C1067" s="113"/>
      <c r="D1067" s="113"/>
    </row>
    <row r="1068">
      <c r="A1068" s="111" t="s">
        <v>10</v>
      </c>
      <c r="B1068" s="111" t="s">
        <v>411</v>
      </c>
      <c r="C1068" s="113"/>
      <c r="D1068" s="113"/>
    </row>
    <row r="1069">
      <c r="A1069" s="111" t="s">
        <v>10</v>
      </c>
      <c r="B1069" s="111" t="s">
        <v>412</v>
      </c>
      <c r="C1069" s="113"/>
      <c r="D1069" s="113"/>
    </row>
    <row r="1070">
      <c r="A1070" s="111" t="s">
        <v>10</v>
      </c>
      <c r="B1070" s="111" t="s">
        <v>413</v>
      </c>
      <c r="C1070" s="113"/>
      <c r="D1070" s="113"/>
    </row>
    <row r="1071">
      <c r="A1071" s="111" t="s">
        <v>10</v>
      </c>
      <c r="B1071" s="111" t="s">
        <v>414</v>
      </c>
      <c r="C1071" s="113"/>
      <c r="D1071" s="113"/>
    </row>
    <row r="1072">
      <c r="A1072" s="111" t="s">
        <v>10</v>
      </c>
      <c r="B1072" s="111" t="s">
        <v>415</v>
      </c>
      <c r="C1072" s="113"/>
      <c r="D1072" s="113"/>
    </row>
    <row r="1073">
      <c r="A1073" s="111" t="s">
        <v>10</v>
      </c>
      <c r="B1073" s="111" t="s">
        <v>416</v>
      </c>
      <c r="C1073" s="113"/>
      <c r="D1073" s="113"/>
    </row>
    <row r="1074">
      <c r="A1074" s="111" t="s">
        <v>10</v>
      </c>
      <c r="B1074" s="111" t="s">
        <v>417</v>
      </c>
      <c r="C1074" s="113"/>
      <c r="D1074" s="113"/>
    </row>
    <row r="1075">
      <c r="A1075" s="111" t="s">
        <v>10</v>
      </c>
      <c r="B1075" s="111" t="s">
        <v>418</v>
      </c>
      <c r="C1075" s="113"/>
      <c r="D1075" s="113"/>
    </row>
    <row r="1076">
      <c r="A1076" s="111" t="s">
        <v>10</v>
      </c>
      <c r="B1076" s="111" t="s">
        <v>419</v>
      </c>
      <c r="C1076" s="113"/>
      <c r="D1076" s="113"/>
    </row>
    <row r="1077">
      <c r="A1077" s="111" t="s">
        <v>10</v>
      </c>
      <c r="B1077" s="111" t="s">
        <v>420</v>
      </c>
      <c r="C1077" s="113"/>
      <c r="D1077" s="113"/>
      <c r="E1077" s="118"/>
    </row>
    <row r="1078">
      <c r="A1078" s="111" t="s">
        <v>10</v>
      </c>
      <c r="B1078" s="111" t="s">
        <v>421</v>
      </c>
      <c r="C1078" s="113"/>
      <c r="D1078" s="113"/>
      <c r="E1078" s="118"/>
    </row>
    <row r="1079">
      <c r="A1079" s="111" t="s">
        <v>10</v>
      </c>
      <c r="B1079" s="111" t="s">
        <v>422</v>
      </c>
      <c r="C1079" s="113"/>
      <c r="D1079" s="113"/>
      <c r="E1079" s="118"/>
    </row>
    <row r="1080">
      <c r="A1080" s="111" t="s">
        <v>10</v>
      </c>
      <c r="B1080" s="111" t="s">
        <v>423</v>
      </c>
      <c r="C1080" s="113"/>
      <c r="D1080" s="117"/>
      <c r="E1080" s="118"/>
    </row>
    <row r="1081">
      <c r="A1081" s="111" t="s">
        <v>10</v>
      </c>
      <c r="B1081" s="111" t="s">
        <v>424</v>
      </c>
      <c r="C1081" s="117">
        <v>1.0</v>
      </c>
      <c r="D1081" s="117">
        <v>-0.5</v>
      </c>
      <c r="E1081" s="118">
        <v>3.7</v>
      </c>
    </row>
    <row r="1082">
      <c r="A1082" s="111" t="s">
        <v>10</v>
      </c>
      <c r="B1082" s="111" t="s">
        <v>425</v>
      </c>
      <c r="C1082" s="117">
        <v>1.0</v>
      </c>
      <c r="D1082" s="117">
        <v>-0.5</v>
      </c>
      <c r="E1082" s="118">
        <v>3.7</v>
      </c>
    </row>
    <row r="1083">
      <c r="A1083" s="111" t="s">
        <v>10</v>
      </c>
      <c r="B1083" s="111" t="s">
        <v>426</v>
      </c>
      <c r="C1083" s="117">
        <v>1.0</v>
      </c>
      <c r="D1083" s="117">
        <v>-0.48</v>
      </c>
      <c r="E1083" s="118">
        <v>3.7</v>
      </c>
    </row>
    <row r="1084">
      <c r="A1084" s="111" t="s">
        <v>10</v>
      </c>
      <c r="B1084" s="111" t="s">
        <v>427</v>
      </c>
      <c r="C1084" s="117">
        <v>1.0</v>
      </c>
      <c r="D1084" s="117">
        <v>-0.21</v>
      </c>
      <c r="E1084" s="118">
        <v>3.7</v>
      </c>
    </row>
    <row r="1085">
      <c r="A1085" s="111" t="s">
        <v>10</v>
      </c>
      <c r="B1085" s="111" t="s">
        <v>428</v>
      </c>
      <c r="C1085" s="117">
        <v>1.0</v>
      </c>
      <c r="D1085" s="117">
        <v>-0.15</v>
      </c>
      <c r="E1085" s="118">
        <v>4.7</v>
      </c>
    </row>
    <row r="1086">
      <c r="A1086" s="111" t="s">
        <v>10</v>
      </c>
      <c r="B1086" s="111" t="s">
        <v>429</v>
      </c>
      <c r="C1086" s="117">
        <v>0.89</v>
      </c>
      <c r="D1086" s="117">
        <v>-0.08</v>
      </c>
      <c r="E1086" s="118">
        <v>4.7</v>
      </c>
    </row>
    <row r="1087">
      <c r="A1087" s="111" t="s">
        <v>10</v>
      </c>
      <c r="B1087" s="111" t="s">
        <v>430</v>
      </c>
      <c r="C1087" s="117">
        <v>0.57</v>
      </c>
      <c r="D1087" s="117">
        <v>-0.02</v>
      </c>
      <c r="E1087" s="118">
        <v>4.7</v>
      </c>
    </row>
    <row r="1088">
      <c r="A1088" s="111" t="s">
        <v>10</v>
      </c>
      <c r="B1088" s="111" t="s">
        <v>431</v>
      </c>
      <c r="C1088" s="117">
        <v>0.26</v>
      </c>
      <c r="D1088" s="117">
        <v>0.04</v>
      </c>
      <c r="E1088" s="118">
        <v>4.7</v>
      </c>
    </row>
    <row r="1089">
      <c r="A1089" s="111" t="s">
        <v>10</v>
      </c>
      <c r="B1089" s="111" t="s">
        <v>432</v>
      </c>
      <c r="C1089" s="117">
        <v>0.61</v>
      </c>
      <c r="D1089" s="117">
        <v>0.02</v>
      </c>
      <c r="E1089" s="107">
        <v>13.0</v>
      </c>
    </row>
    <row r="1090">
      <c r="A1090" s="111" t="s">
        <v>10</v>
      </c>
      <c r="B1090" s="111" t="s">
        <v>433</v>
      </c>
      <c r="C1090" s="117">
        <v>0.97</v>
      </c>
      <c r="D1090" s="117">
        <v>0.01</v>
      </c>
      <c r="E1090" s="107">
        <v>13.0</v>
      </c>
    </row>
    <row r="1091">
      <c r="A1091" s="111" t="s">
        <v>10</v>
      </c>
      <c r="B1091" s="111" t="s">
        <v>434</v>
      </c>
      <c r="C1091" s="117">
        <v>1.0</v>
      </c>
      <c r="D1091" s="117">
        <v>-0.01</v>
      </c>
      <c r="E1091" s="107">
        <v>13.0</v>
      </c>
    </row>
    <row r="1092">
      <c r="A1092" s="111" t="s">
        <v>10</v>
      </c>
      <c r="B1092" s="111" t="s">
        <v>435</v>
      </c>
      <c r="C1092" s="117">
        <v>1.0</v>
      </c>
      <c r="D1092" s="117">
        <v>-0.03</v>
      </c>
      <c r="E1092" s="107">
        <v>13.0</v>
      </c>
    </row>
    <row r="1093">
      <c r="A1093" s="111" t="s">
        <v>10</v>
      </c>
      <c r="B1093" s="111" t="s">
        <v>436</v>
      </c>
      <c r="C1093" s="117">
        <v>1.0</v>
      </c>
      <c r="D1093" s="117">
        <v>0.0</v>
      </c>
      <c r="E1093" s="107">
        <v>15.0</v>
      </c>
    </row>
    <row r="1094">
      <c r="A1094" s="111" t="s">
        <v>10</v>
      </c>
      <c r="B1094" s="111" t="s">
        <v>437</v>
      </c>
      <c r="C1094" s="117">
        <v>0.95</v>
      </c>
      <c r="D1094" s="117">
        <v>0.02</v>
      </c>
      <c r="E1094" s="107">
        <v>15.0</v>
      </c>
    </row>
    <row r="1095">
      <c r="A1095" s="111" t="s">
        <v>10</v>
      </c>
      <c r="B1095" s="111" t="s">
        <v>438</v>
      </c>
      <c r="C1095" s="117">
        <v>0.58</v>
      </c>
      <c r="D1095" s="117">
        <v>0.05</v>
      </c>
      <c r="E1095" s="107">
        <v>15.0</v>
      </c>
    </row>
    <row r="1096">
      <c r="A1096" s="111" t="s">
        <v>10</v>
      </c>
      <c r="B1096" s="111" t="s">
        <v>439</v>
      </c>
      <c r="C1096" s="117">
        <v>0.25</v>
      </c>
      <c r="D1096" s="117">
        <v>0.08</v>
      </c>
      <c r="E1096" s="107">
        <v>17.0</v>
      </c>
    </row>
    <row r="1097">
      <c r="A1097" s="111" t="s">
        <v>10</v>
      </c>
      <c r="B1097" s="111" t="s">
        <v>440</v>
      </c>
      <c r="C1097" s="117">
        <v>0.26</v>
      </c>
      <c r="D1097" s="117">
        <v>0.08</v>
      </c>
      <c r="E1097" s="107">
        <v>19.0</v>
      </c>
    </row>
    <row r="1098">
      <c r="A1098" s="111" t="s">
        <v>10</v>
      </c>
      <c r="B1098" s="111" t="s">
        <v>441</v>
      </c>
      <c r="C1098" s="117">
        <v>0.28</v>
      </c>
      <c r="D1098" s="117">
        <v>0.08</v>
      </c>
      <c r="E1098" s="107">
        <v>20.0</v>
      </c>
    </row>
    <row r="1099">
      <c r="A1099" s="111" t="s">
        <v>10</v>
      </c>
      <c r="B1099" s="111" t="s">
        <v>442</v>
      </c>
      <c r="C1099" s="117">
        <v>0.31</v>
      </c>
      <c r="D1099" s="117">
        <v>0.08</v>
      </c>
      <c r="E1099" s="107">
        <v>20.0</v>
      </c>
    </row>
    <row r="1100">
      <c r="A1100" s="111" t="s">
        <v>10</v>
      </c>
      <c r="B1100" s="111" t="s">
        <v>443</v>
      </c>
      <c r="C1100" s="117">
        <v>0.27</v>
      </c>
      <c r="D1100" s="117">
        <v>0.08</v>
      </c>
      <c r="E1100" s="107">
        <v>20.0</v>
      </c>
    </row>
    <row r="1101">
      <c r="A1101" s="111" t="s">
        <v>10</v>
      </c>
      <c r="B1101" s="111" t="s">
        <v>444</v>
      </c>
      <c r="C1101" s="117">
        <v>0.25</v>
      </c>
      <c r="D1101" s="117">
        <v>0.09</v>
      </c>
      <c r="E1101" s="107">
        <v>22.0</v>
      </c>
    </row>
    <row r="1102">
      <c r="A1102" s="111" t="s">
        <v>11</v>
      </c>
      <c r="B1102" s="111" t="s">
        <v>335</v>
      </c>
      <c r="C1102" s="113"/>
      <c r="D1102" s="113"/>
    </row>
    <row r="1103">
      <c r="A1103" s="111" t="s">
        <v>11</v>
      </c>
      <c r="B1103" s="111" t="s">
        <v>336</v>
      </c>
      <c r="C1103" s="113"/>
      <c r="D1103" s="113"/>
    </row>
    <row r="1104">
      <c r="A1104" s="111" t="s">
        <v>11</v>
      </c>
      <c r="B1104" s="111" t="s">
        <v>337</v>
      </c>
      <c r="C1104" s="113"/>
      <c r="D1104" s="113"/>
    </row>
    <row r="1105">
      <c r="A1105" s="111" t="s">
        <v>11</v>
      </c>
      <c r="B1105" s="111" t="s">
        <v>338</v>
      </c>
      <c r="C1105" s="113"/>
      <c r="D1105" s="113"/>
    </row>
    <row r="1106">
      <c r="A1106" s="111" t="s">
        <v>11</v>
      </c>
      <c r="B1106" s="111" t="s">
        <v>339</v>
      </c>
      <c r="C1106" s="113"/>
      <c r="D1106" s="113"/>
    </row>
    <row r="1107">
      <c r="A1107" s="111" t="s">
        <v>11</v>
      </c>
      <c r="B1107" s="111" t="s">
        <v>340</v>
      </c>
      <c r="C1107" s="113"/>
      <c r="D1107" s="113"/>
    </row>
    <row r="1108">
      <c r="A1108" s="111" t="s">
        <v>11</v>
      </c>
      <c r="B1108" s="111" t="s">
        <v>341</v>
      </c>
      <c r="C1108" s="113"/>
      <c r="D1108" s="113"/>
    </row>
    <row r="1109">
      <c r="A1109" s="111" t="s">
        <v>11</v>
      </c>
      <c r="B1109" s="111" t="s">
        <v>342</v>
      </c>
      <c r="C1109" s="113"/>
      <c r="D1109" s="113"/>
    </row>
    <row r="1110">
      <c r="A1110" s="111" t="s">
        <v>11</v>
      </c>
      <c r="B1110" s="111" t="s">
        <v>343</v>
      </c>
      <c r="C1110" s="113"/>
      <c r="D1110" s="113"/>
    </row>
    <row r="1111">
      <c r="A1111" s="111" t="s">
        <v>11</v>
      </c>
      <c r="B1111" s="111" t="s">
        <v>344</v>
      </c>
      <c r="C1111" s="113"/>
      <c r="D1111" s="113"/>
    </row>
    <row r="1112">
      <c r="A1112" s="111" t="s">
        <v>11</v>
      </c>
      <c r="B1112" s="111" t="s">
        <v>345</v>
      </c>
      <c r="C1112" s="113"/>
      <c r="D1112" s="113"/>
    </row>
    <row r="1113">
      <c r="A1113" s="111" t="s">
        <v>11</v>
      </c>
      <c r="B1113" s="111" t="s">
        <v>346</v>
      </c>
      <c r="C1113" s="113"/>
      <c r="D1113" s="113"/>
    </row>
    <row r="1114">
      <c r="A1114" s="111" t="s">
        <v>11</v>
      </c>
      <c r="B1114" s="111" t="s">
        <v>347</v>
      </c>
      <c r="C1114" s="113"/>
      <c r="D1114" s="113"/>
    </row>
    <row r="1115">
      <c r="A1115" s="111" t="s">
        <v>11</v>
      </c>
      <c r="B1115" s="111" t="s">
        <v>348</v>
      </c>
      <c r="C1115" s="113"/>
      <c r="D1115" s="113"/>
    </row>
    <row r="1116">
      <c r="A1116" s="111" t="s">
        <v>11</v>
      </c>
      <c r="B1116" s="111" t="s">
        <v>349</v>
      </c>
      <c r="C1116" s="113"/>
      <c r="D1116" s="113"/>
    </row>
    <row r="1117">
      <c r="A1117" s="111" t="s">
        <v>11</v>
      </c>
      <c r="B1117" s="111" t="s">
        <v>350</v>
      </c>
      <c r="C1117" s="113"/>
      <c r="D1117" s="113"/>
    </row>
    <row r="1118">
      <c r="A1118" s="111" t="s">
        <v>11</v>
      </c>
      <c r="B1118" s="111" t="s">
        <v>351</v>
      </c>
      <c r="C1118" s="113"/>
      <c r="D1118" s="113"/>
    </row>
    <row r="1119">
      <c r="A1119" s="111" t="s">
        <v>11</v>
      </c>
      <c r="B1119" s="111" t="s">
        <v>352</v>
      </c>
      <c r="C1119" s="113"/>
      <c r="D1119" s="113"/>
    </row>
    <row r="1120">
      <c r="A1120" s="111" t="s">
        <v>11</v>
      </c>
      <c r="B1120" s="111" t="s">
        <v>353</v>
      </c>
      <c r="C1120" s="113"/>
      <c r="D1120" s="113"/>
    </row>
    <row r="1121">
      <c r="A1121" s="111" t="s">
        <v>11</v>
      </c>
      <c r="B1121" s="111" t="s">
        <v>354</v>
      </c>
      <c r="C1121" s="113"/>
      <c r="D1121" s="113"/>
    </row>
    <row r="1122">
      <c r="A1122" s="111" t="s">
        <v>11</v>
      </c>
      <c r="B1122" s="111" t="s">
        <v>355</v>
      </c>
      <c r="C1122" s="113"/>
      <c r="D1122" s="113"/>
    </row>
    <row r="1123">
      <c r="A1123" s="111" t="s">
        <v>11</v>
      </c>
      <c r="B1123" s="111" t="s">
        <v>356</v>
      </c>
      <c r="C1123" s="113"/>
      <c r="D1123" s="113"/>
    </row>
    <row r="1124">
      <c r="A1124" s="111" t="s">
        <v>11</v>
      </c>
      <c r="B1124" s="111" t="s">
        <v>357</v>
      </c>
      <c r="C1124" s="113"/>
      <c r="D1124" s="113"/>
    </row>
    <row r="1125">
      <c r="A1125" s="111" t="s">
        <v>11</v>
      </c>
      <c r="B1125" s="111" t="s">
        <v>358</v>
      </c>
      <c r="C1125" s="113"/>
      <c r="D1125" s="113"/>
    </row>
    <row r="1126">
      <c r="A1126" s="111" t="s">
        <v>11</v>
      </c>
      <c r="B1126" s="111" t="s">
        <v>359</v>
      </c>
      <c r="C1126" s="113"/>
      <c r="D1126" s="113"/>
    </row>
    <row r="1127">
      <c r="A1127" s="111" t="s">
        <v>11</v>
      </c>
      <c r="B1127" s="111" t="s">
        <v>360</v>
      </c>
      <c r="C1127" s="113"/>
      <c r="D1127" s="113"/>
    </row>
    <row r="1128">
      <c r="A1128" s="111" t="s">
        <v>11</v>
      </c>
      <c r="B1128" s="111" t="s">
        <v>361</v>
      </c>
      <c r="C1128" s="113"/>
      <c r="D1128" s="113"/>
    </row>
    <row r="1129">
      <c r="A1129" s="111" t="s">
        <v>11</v>
      </c>
      <c r="B1129" s="111" t="s">
        <v>362</v>
      </c>
      <c r="C1129" s="113"/>
      <c r="D1129" s="113"/>
    </row>
    <row r="1130">
      <c r="A1130" s="111" t="s">
        <v>11</v>
      </c>
      <c r="B1130" s="111" t="s">
        <v>363</v>
      </c>
      <c r="C1130" s="113"/>
      <c r="D1130" s="113"/>
    </row>
    <row r="1131">
      <c r="A1131" s="111" t="s">
        <v>11</v>
      </c>
      <c r="B1131" s="111" t="s">
        <v>364</v>
      </c>
      <c r="C1131" s="113"/>
      <c r="D1131" s="113"/>
    </row>
    <row r="1132">
      <c r="A1132" s="111" t="s">
        <v>11</v>
      </c>
      <c r="B1132" s="111" t="s">
        <v>365</v>
      </c>
      <c r="C1132" s="113"/>
      <c r="D1132" s="113"/>
    </row>
    <row r="1133">
      <c r="A1133" s="111" t="s">
        <v>11</v>
      </c>
      <c r="B1133" s="111" t="s">
        <v>366</v>
      </c>
      <c r="C1133" s="113"/>
      <c r="D1133" s="113"/>
    </row>
    <row r="1134">
      <c r="A1134" s="111" t="s">
        <v>11</v>
      </c>
      <c r="B1134" s="111" t="s">
        <v>367</v>
      </c>
      <c r="C1134" s="113"/>
      <c r="D1134" s="113"/>
    </row>
    <row r="1135">
      <c r="A1135" s="111" t="s">
        <v>11</v>
      </c>
      <c r="B1135" s="111" t="s">
        <v>368</v>
      </c>
      <c r="C1135" s="113"/>
      <c r="D1135" s="113"/>
    </row>
    <row r="1136">
      <c r="A1136" s="111" t="s">
        <v>11</v>
      </c>
      <c r="B1136" s="111" t="s">
        <v>369</v>
      </c>
      <c r="C1136" s="113"/>
      <c r="D1136" s="113"/>
    </row>
    <row r="1137">
      <c r="A1137" s="111" t="s">
        <v>11</v>
      </c>
      <c r="B1137" s="111" t="s">
        <v>370</v>
      </c>
      <c r="C1137" s="113"/>
      <c r="D1137" s="113"/>
    </row>
    <row r="1138">
      <c r="A1138" s="111" t="s">
        <v>11</v>
      </c>
      <c r="B1138" s="111" t="s">
        <v>371</v>
      </c>
      <c r="C1138" s="113"/>
      <c r="D1138" s="113"/>
    </row>
    <row r="1139">
      <c r="A1139" s="111" t="s">
        <v>11</v>
      </c>
      <c r="B1139" s="111" t="s">
        <v>372</v>
      </c>
      <c r="C1139" s="113"/>
      <c r="D1139" s="113"/>
    </row>
    <row r="1140">
      <c r="A1140" s="111" t="s">
        <v>11</v>
      </c>
      <c r="B1140" s="111" t="s">
        <v>373</v>
      </c>
      <c r="C1140" s="113"/>
      <c r="D1140" s="113"/>
    </row>
    <row r="1141">
      <c r="A1141" s="111" t="s">
        <v>11</v>
      </c>
      <c r="B1141" s="111" t="s">
        <v>374</v>
      </c>
      <c r="C1141" s="113"/>
      <c r="D1141" s="113"/>
    </row>
    <row r="1142">
      <c r="A1142" s="111" t="s">
        <v>11</v>
      </c>
      <c r="B1142" s="111" t="s">
        <v>375</v>
      </c>
      <c r="C1142" s="113"/>
      <c r="D1142" s="113"/>
    </row>
    <row r="1143">
      <c r="A1143" s="111" t="s">
        <v>11</v>
      </c>
      <c r="B1143" s="111" t="s">
        <v>376</v>
      </c>
      <c r="C1143" s="113"/>
      <c r="D1143" s="113"/>
    </row>
    <row r="1144">
      <c r="A1144" s="111" t="s">
        <v>11</v>
      </c>
      <c r="B1144" s="111" t="s">
        <v>377</v>
      </c>
      <c r="C1144" s="113"/>
      <c r="D1144" s="113"/>
    </row>
    <row r="1145">
      <c r="A1145" s="111" t="s">
        <v>11</v>
      </c>
      <c r="B1145" s="111" t="s">
        <v>378</v>
      </c>
      <c r="C1145" s="113"/>
      <c r="D1145" s="113"/>
    </row>
    <row r="1146">
      <c r="A1146" s="111" t="s">
        <v>11</v>
      </c>
      <c r="B1146" s="111" t="s">
        <v>379</v>
      </c>
      <c r="C1146" s="113"/>
      <c r="D1146" s="113"/>
    </row>
    <row r="1147">
      <c r="A1147" s="111" t="s">
        <v>11</v>
      </c>
      <c r="B1147" s="111" t="s">
        <v>380</v>
      </c>
      <c r="C1147" s="113"/>
      <c r="D1147" s="113"/>
    </row>
    <row r="1148">
      <c r="A1148" s="111" t="s">
        <v>11</v>
      </c>
      <c r="B1148" s="111" t="s">
        <v>381</v>
      </c>
      <c r="C1148" s="113"/>
      <c r="D1148" s="113"/>
    </row>
    <row r="1149">
      <c r="A1149" s="111" t="s">
        <v>11</v>
      </c>
      <c r="B1149" s="111" t="s">
        <v>382</v>
      </c>
      <c r="C1149" s="113"/>
      <c r="D1149" s="113"/>
    </row>
    <row r="1150">
      <c r="A1150" s="111" t="s">
        <v>11</v>
      </c>
      <c r="B1150" s="111" t="s">
        <v>383</v>
      </c>
      <c r="C1150" s="113"/>
      <c r="D1150" s="113"/>
    </row>
    <row r="1151">
      <c r="A1151" s="111" t="s">
        <v>11</v>
      </c>
      <c r="B1151" s="111" t="s">
        <v>384</v>
      </c>
      <c r="C1151" s="113"/>
      <c r="D1151" s="113"/>
    </row>
    <row r="1152">
      <c r="A1152" s="111" t="s">
        <v>11</v>
      </c>
      <c r="B1152" s="111" t="s">
        <v>385</v>
      </c>
      <c r="C1152" s="113"/>
      <c r="D1152" s="113"/>
    </row>
    <row r="1153">
      <c r="A1153" s="111" t="s">
        <v>11</v>
      </c>
      <c r="B1153" s="111" t="s">
        <v>386</v>
      </c>
      <c r="C1153" s="113"/>
      <c r="D1153" s="113"/>
    </row>
    <row r="1154">
      <c r="A1154" s="111" t="s">
        <v>11</v>
      </c>
      <c r="B1154" s="111" t="s">
        <v>387</v>
      </c>
      <c r="C1154" s="113"/>
      <c r="D1154" s="113"/>
    </row>
    <row r="1155">
      <c r="A1155" s="111" t="s">
        <v>11</v>
      </c>
      <c r="B1155" s="111" t="s">
        <v>388</v>
      </c>
      <c r="C1155" s="113"/>
      <c r="D1155" s="113"/>
    </row>
    <row r="1156">
      <c r="A1156" s="111" t="s">
        <v>11</v>
      </c>
      <c r="B1156" s="111" t="s">
        <v>389</v>
      </c>
      <c r="C1156" s="113"/>
      <c r="D1156" s="113"/>
    </row>
    <row r="1157">
      <c r="A1157" s="111" t="s">
        <v>11</v>
      </c>
      <c r="B1157" s="111" t="s">
        <v>390</v>
      </c>
      <c r="C1157" s="113"/>
      <c r="D1157" s="113"/>
    </row>
    <row r="1158">
      <c r="A1158" s="111" t="s">
        <v>11</v>
      </c>
      <c r="B1158" s="111" t="s">
        <v>391</v>
      </c>
      <c r="C1158" s="113"/>
      <c r="D1158" s="113"/>
    </row>
    <row r="1159">
      <c r="A1159" s="111" t="s">
        <v>11</v>
      </c>
      <c r="B1159" s="111" t="s">
        <v>392</v>
      </c>
      <c r="C1159" s="113"/>
      <c r="D1159" s="113"/>
    </row>
    <row r="1160">
      <c r="A1160" s="111" t="s">
        <v>11</v>
      </c>
      <c r="B1160" s="111" t="s">
        <v>393</v>
      </c>
      <c r="C1160" s="113"/>
      <c r="D1160" s="113"/>
    </row>
    <row r="1161">
      <c r="A1161" s="111" t="s">
        <v>11</v>
      </c>
      <c r="B1161" s="111" t="s">
        <v>394</v>
      </c>
      <c r="C1161" s="113"/>
      <c r="D1161" s="113"/>
    </row>
    <row r="1162">
      <c r="A1162" s="111" t="s">
        <v>11</v>
      </c>
      <c r="B1162" s="111" t="s">
        <v>395</v>
      </c>
      <c r="C1162" s="113"/>
      <c r="D1162" s="113"/>
    </row>
    <row r="1163">
      <c r="A1163" s="111" t="s">
        <v>11</v>
      </c>
      <c r="B1163" s="111" t="s">
        <v>396</v>
      </c>
      <c r="C1163" s="113"/>
      <c r="D1163" s="113"/>
    </row>
    <row r="1164">
      <c r="A1164" s="111" t="s">
        <v>11</v>
      </c>
      <c r="B1164" s="111" t="s">
        <v>397</v>
      </c>
      <c r="C1164" s="113"/>
      <c r="D1164" s="113"/>
    </row>
    <row r="1165">
      <c r="A1165" s="111" t="s">
        <v>11</v>
      </c>
      <c r="B1165" s="111" t="s">
        <v>398</v>
      </c>
      <c r="C1165" s="113"/>
      <c r="D1165" s="113"/>
    </row>
    <row r="1166">
      <c r="A1166" s="111" t="s">
        <v>11</v>
      </c>
      <c r="B1166" s="111" t="s">
        <v>399</v>
      </c>
      <c r="C1166" s="113"/>
      <c r="D1166" s="113"/>
    </row>
    <row r="1167">
      <c r="A1167" s="111" t="s">
        <v>11</v>
      </c>
      <c r="B1167" s="111" t="s">
        <v>400</v>
      </c>
      <c r="C1167" s="113"/>
      <c r="D1167" s="113"/>
    </row>
    <row r="1168">
      <c r="A1168" s="111" t="s">
        <v>11</v>
      </c>
      <c r="B1168" s="111" t="s">
        <v>401</v>
      </c>
      <c r="C1168" s="113"/>
      <c r="D1168" s="113"/>
    </row>
    <row r="1169">
      <c r="A1169" s="111" t="s">
        <v>11</v>
      </c>
      <c r="B1169" s="111" t="s">
        <v>402</v>
      </c>
      <c r="C1169" s="113"/>
      <c r="D1169" s="113"/>
    </row>
    <row r="1170">
      <c r="A1170" s="111" t="s">
        <v>11</v>
      </c>
      <c r="B1170" s="111" t="s">
        <v>403</v>
      </c>
      <c r="C1170" s="113"/>
      <c r="D1170" s="113"/>
    </row>
    <row r="1171">
      <c r="A1171" s="111" t="s">
        <v>11</v>
      </c>
      <c r="B1171" s="111" t="s">
        <v>404</v>
      </c>
      <c r="C1171" s="113"/>
      <c r="D1171" s="113"/>
    </row>
    <row r="1172">
      <c r="A1172" s="111" t="s">
        <v>11</v>
      </c>
      <c r="B1172" s="111" t="s">
        <v>405</v>
      </c>
      <c r="C1172" s="113"/>
      <c r="D1172" s="113"/>
    </row>
    <row r="1173">
      <c r="A1173" s="111" t="s">
        <v>11</v>
      </c>
      <c r="B1173" s="111" t="s">
        <v>406</v>
      </c>
      <c r="C1173" s="113"/>
      <c r="D1173" s="113"/>
    </row>
    <row r="1174">
      <c r="A1174" s="111" t="s">
        <v>11</v>
      </c>
      <c r="B1174" s="111" t="s">
        <v>407</v>
      </c>
      <c r="C1174" s="113"/>
      <c r="D1174" s="113"/>
    </row>
    <row r="1175">
      <c r="A1175" s="111" t="s">
        <v>11</v>
      </c>
      <c r="B1175" s="111" t="s">
        <v>408</v>
      </c>
      <c r="C1175" s="113"/>
      <c r="D1175" s="113"/>
    </row>
    <row r="1176">
      <c r="A1176" s="111" t="s">
        <v>11</v>
      </c>
      <c r="B1176" s="111" t="s">
        <v>409</v>
      </c>
      <c r="C1176" s="113"/>
      <c r="D1176" s="113"/>
    </row>
    <row r="1177">
      <c r="A1177" s="111" t="s">
        <v>11</v>
      </c>
      <c r="B1177" s="111" t="s">
        <v>410</v>
      </c>
      <c r="C1177" s="113"/>
      <c r="D1177" s="113"/>
    </row>
    <row r="1178">
      <c r="A1178" s="111" t="s">
        <v>11</v>
      </c>
      <c r="B1178" s="111" t="s">
        <v>411</v>
      </c>
      <c r="C1178" s="113"/>
      <c r="D1178" s="117"/>
      <c r="E1178" s="107"/>
    </row>
    <row r="1179">
      <c r="A1179" s="111" t="s">
        <v>11</v>
      </c>
      <c r="B1179" s="111" t="s">
        <v>412</v>
      </c>
      <c r="C1179" s="113"/>
      <c r="D1179" s="117"/>
      <c r="E1179" s="107"/>
    </row>
    <row r="1180">
      <c r="A1180" s="111" t="s">
        <v>11</v>
      </c>
      <c r="B1180" s="111" t="s">
        <v>413</v>
      </c>
      <c r="C1180" s="113"/>
      <c r="D1180" s="117"/>
      <c r="E1180" s="107"/>
    </row>
    <row r="1181">
      <c r="A1181" s="111" t="s">
        <v>11</v>
      </c>
      <c r="B1181" s="111" t="s">
        <v>414</v>
      </c>
      <c r="C1181" s="113"/>
      <c r="D1181" s="117"/>
      <c r="E1181" s="107"/>
    </row>
    <row r="1182">
      <c r="A1182" s="111" t="s">
        <v>11</v>
      </c>
      <c r="B1182" s="111" t="s">
        <v>415</v>
      </c>
      <c r="C1182" s="117">
        <v>-0.13</v>
      </c>
      <c r="D1182" s="117">
        <v>0.37</v>
      </c>
      <c r="E1182" s="107">
        <v>124.0</v>
      </c>
    </row>
    <row r="1183">
      <c r="A1183" s="111" t="s">
        <v>11</v>
      </c>
      <c r="B1183" s="111" t="s">
        <v>416</v>
      </c>
      <c r="C1183" s="117">
        <v>-0.1</v>
      </c>
      <c r="D1183" s="117">
        <v>0.34</v>
      </c>
      <c r="E1183" s="107">
        <v>153.0</v>
      </c>
    </row>
    <row r="1184">
      <c r="A1184" s="111" t="s">
        <v>11</v>
      </c>
      <c r="B1184" s="111" t="s">
        <v>417</v>
      </c>
      <c r="C1184" s="117">
        <v>-0.09</v>
      </c>
      <c r="D1184" s="117">
        <v>0.31</v>
      </c>
      <c r="E1184" s="107">
        <v>130.0</v>
      </c>
    </row>
    <row r="1185">
      <c r="A1185" s="111" t="s">
        <v>11</v>
      </c>
      <c r="B1185" s="111" t="s">
        <v>418</v>
      </c>
      <c r="C1185" s="117">
        <v>-0.01</v>
      </c>
      <c r="D1185" s="117">
        <v>0.25</v>
      </c>
      <c r="E1185" s="107">
        <v>154.0</v>
      </c>
    </row>
    <row r="1186">
      <c r="A1186" s="111" t="s">
        <v>11</v>
      </c>
      <c r="B1186" s="111" t="s">
        <v>419</v>
      </c>
      <c r="C1186" s="117">
        <v>0.03</v>
      </c>
      <c r="D1186" s="117">
        <v>0.22</v>
      </c>
      <c r="E1186" s="107">
        <v>128.0</v>
      </c>
    </row>
    <row r="1187">
      <c r="A1187" s="111" t="s">
        <v>11</v>
      </c>
      <c r="B1187" s="111" t="s">
        <v>420</v>
      </c>
      <c r="C1187" s="117">
        <v>0.03</v>
      </c>
      <c r="D1187" s="117">
        <v>0.22</v>
      </c>
      <c r="E1187" s="107">
        <v>142.0</v>
      </c>
    </row>
    <row r="1188">
      <c r="A1188" s="111" t="s">
        <v>11</v>
      </c>
      <c r="B1188" s="111" t="s">
        <v>421</v>
      </c>
      <c r="C1188" s="117">
        <v>0.05</v>
      </c>
      <c r="D1188" s="117">
        <v>-0.02</v>
      </c>
      <c r="E1188" s="107">
        <v>131.0</v>
      </c>
    </row>
    <row r="1189">
      <c r="A1189" s="111" t="s">
        <v>11</v>
      </c>
      <c r="B1189" s="111" t="s">
        <v>422</v>
      </c>
      <c r="C1189" s="117">
        <v>-0.07</v>
      </c>
      <c r="D1189" s="117">
        <v>-0.04</v>
      </c>
      <c r="E1189" s="107">
        <v>118.0</v>
      </c>
    </row>
    <row r="1190">
      <c r="A1190" s="111" t="s">
        <v>11</v>
      </c>
      <c r="B1190" s="111" t="s">
        <v>423</v>
      </c>
      <c r="C1190" s="117">
        <v>-0.17</v>
      </c>
      <c r="D1190" s="117">
        <v>-0.03</v>
      </c>
      <c r="E1190" s="107">
        <v>81.0</v>
      </c>
    </row>
    <row r="1191">
      <c r="A1191" s="111" t="s">
        <v>11</v>
      </c>
      <c r="B1191" s="111" t="s">
        <v>424</v>
      </c>
      <c r="C1191" s="117">
        <v>-0.24</v>
      </c>
      <c r="D1191" s="117">
        <v>-0.07</v>
      </c>
      <c r="E1191" s="107">
        <v>91.0</v>
      </c>
    </row>
    <row r="1192">
      <c r="A1192" s="111" t="s">
        <v>11</v>
      </c>
      <c r="B1192" s="111" t="s">
        <v>425</v>
      </c>
      <c r="C1192" s="117">
        <v>-0.3</v>
      </c>
      <c r="D1192" s="117">
        <v>0.15</v>
      </c>
      <c r="E1192" s="107">
        <v>93.0</v>
      </c>
    </row>
    <row r="1193">
      <c r="A1193" s="111" t="s">
        <v>11</v>
      </c>
      <c r="B1193" s="111" t="s">
        <v>426</v>
      </c>
      <c r="C1193" s="117">
        <v>-0.3</v>
      </c>
      <c r="D1193" s="117">
        <v>0.16</v>
      </c>
      <c r="E1193" s="107">
        <v>75.0</v>
      </c>
    </row>
    <row r="1194">
      <c r="A1194" s="111" t="s">
        <v>11</v>
      </c>
      <c r="B1194" s="111" t="s">
        <v>427</v>
      </c>
      <c r="C1194" s="117">
        <v>-0.3</v>
      </c>
      <c r="D1194" s="117">
        <v>0.5</v>
      </c>
      <c r="E1194" s="107">
        <v>49.0</v>
      </c>
    </row>
    <row r="1195">
      <c r="A1195" s="111" t="s">
        <v>11</v>
      </c>
      <c r="B1195" s="111" t="s">
        <v>428</v>
      </c>
      <c r="C1195" s="117">
        <v>-0.3</v>
      </c>
      <c r="D1195" s="117">
        <v>0.0</v>
      </c>
      <c r="E1195" s="107">
        <v>7.0</v>
      </c>
    </row>
    <row r="1196">
      <c r="A1196" s="111" t="s">
        <v>11</v>
      </c>
      <c r="B1196" s="111" t="s">
        <v>429</v>
      </c>
      <c r="C1196" s="117">
        <v>-0.3</v>
      </c>
      <c r="D1196" s="117">
        <v>-0.5</v>
      </c>
      <c r="E1196" s="107">
        <v>8.0</v>
      </c>
    </row>
    <row r="1197">
      <c r="A1197" s="111" t="s">
        <v>11</v>
      </c>
      <c r="B1197" s="111" t="s">
        <v>430</v>
      </c>
      <c r="C1197" s="117">
        <v>-0.3</v>
      </c>
      <c r="D1197" s="117">
        <v>-0.5</v>
      </c>
      <c r="E1197" s="107">
        <v>17.0</v>
      </c>
    </row>
    <row r="1198">
      <c r="A1198" s="111" t="s">
        <v>11</v>
      </c>
      <c r="B1198" s="111" t="s">
        <v>431</v>
      </c>
      <c r="C1198" s="117">
        <v>-0.3</v>
      </c>
      <c r="D1198" s="117">
        <v>-0.5</v>
      </c>
      <c r="E1198" s="107">
        <v>16.0</v>
      </c>
    </row>
    <row r="1199">
      <c r="A1199" s="111" t="s">
        <v>11</v>
      </c>
      <c r="B1199" s="111" t="s">
        <v>432</v>
      </c>
      <c r="C1199" s="117">
        <v>0.81</v>
      </c>
      <c r="D1199" s="117">
        <v>-0.5</v>
      </c>
      <c r="E1199" s="107">
        <v>47.0</v>
      </c>
    </row>
    <row r="1200">
      <c r="A1200" s="111" t="s">
        <v>11</v>
      </c>
      <c r="B1200" s="111" t="s">
        <v>433</v>
      </c>
      <c r="C1200" s="117">
        <v>1.0</v>
      </c>
      <c r="D1200" s="117">
        <v>-0.5</v>
      </c>
      <c r="E1200" s="107">
        <v>50.0</v>
      </c>
    </row>
    <row r="1201">
      <c r="A1201" s="111" t="s">
        <v>11</v>
      </c>
      <c r="B1201" s="111" t="s">
        <v>434</v>
      </c>
      <c r="C1201" s="117">
        <v>1.0</v>
      </c>
      <c r="D1201" s="117">
        <v>-0.5</v>
      </c>
      <c r="E1201" s="107">
        <v>50.0</v>
      </c>
    </row>
    <row r="1202">
      <c r="A1202" s="111" t="s">
        <v>11</v>
      </c>
      <c r="B1202" s="111" t="s">
        <v>435</v>
      </c>
      <c r="C1202" s="117">
        <v>1.0</v>
      </c>
      <c r="D1202" s="117">
        <v>-0.37</v>
      </c>
      <c r="E1202" s="107">
        <v>42.0</v>
      </c>
    </row>
    <row r="1203">
      <c r="A1203" s="111" t="s">
        <v>11</v>
      </c>
      <c r="B1203" s="111" t="s">
        <v>436</v>
      </c>
      <c r="C1203" s="117">
        <v>1.0</v>
      </c>
      <c r="D1203" s="117">
        <v>-0.31</v>
      </c>
      <c r="E1203" s="107">
        <v>59.0</v>
      </c>
    </row>
    <row r="1204">
      <c r="A1204" s="111" t="s">
        <v>11</v>
      </c>
      <c r="B1204" s="111" t="s">
        <v>437</v>
      </c>
      <c r="C1204" s="117">
        <v>1.0</v>
      </c>
      <c r="D1204" s="117">
        <v>-0.16</v>
      </c>
      <c r="E1204" s="107">
        <v>68.0</v>
      </c>
    </row>
    <row r="1205">
      <c r="A1205" s="111" t="s">
        <v>11</v>
      </c>
      <c r="B1205" s="111" t="s">
        <v>438</v>
      </c>
      <c r="C1205" s="117">
        <v>0.72</v>
      </c>
      <c r="D1205" s="117">
        <v>-0.09</v>
      </c>
      <c r="E1205" s="107">
        <v>77.0</v>
      </c>
    </row>
    <row r="1206">
      <c r="A1206" s="111" t="s">
        <v>11</v>
      </c>
      <c r="B1206" s="111" t="s">
        <v>439</v>
      </c>
      <c r="C1206" s="117">
        <v>0.54</v>
      </c>
      <c r="D1206" s="117">
        <v>0.05</v>
      </c>
      <c r="E1206" s="107">
        <v>83.0</v>
      </c>
    </row>
    <row r="1207">
      <c r="A1207" s="111" t="s">
        <v>11</v>
      </c>
      <c r="B1207" s="111" t="s">
        <v>440</v>
      </c>
      <c r="C1207" s="117">
        <v>0.61</v>
      </c>
      <c r="D1207" s="117">
        <v>0.17</v>
      </c>
      <c r="E1207" s="107">
        <v>92.0</v>
      </c>
    </row>
    <row r="1208">
      <c r="A1208" s="111" t="s">
        <v>11</v>
      </c>
      <c r="B1208" s="111" t="s">
        <v>441</v>
      </c>
      <c r="C1208" s="117">
        <v>0.62</v>
      </c>
      <c r="D1208" s="117">
        <v>0.13</v>
      </c>
      <c r="E1208" s="107">
        <v>95.0</v>
      </c>
    </row>
    <row r="1209">
      <c r="A1209" s="111" t="s">
        <v>11</v>
      </c>
      <c r="B1209" s="111" t="s">
        <v>442</v>
      </c>
      <c r="C1209" s="117">
        <v>0.58</v>
      </c>
      <c r="D1209" s="117">
        <v>0.2</v>
      </c>
      <c r="E1209" s="107">
        <v>107.0</v>
      </c>
    </row>
    <row r="1210">
      <c r="A1210" s="111" t="s">
        <v>11</v>
      </c>
      <c r="B1210" s="111" t="s">
        <v>443</v>
      </c>
      <c r="C1210" s="117">
        <v>0.45</v>
      </c>
      <c r="D1210" s="117">
        <v>0.19</v>
      </c>
      <c r="E1210" s="107">
        <v>123.0</v>
      </c>
    </row>
    <row r="1211">
      <c r="A1211" s="111" t="s">
        <v>11</v>
      </c>
      <c r="B1211" s="111" t="s">
        <v>444</v>
      </c>
      <c r="C1211" s="117">
        <v>0.38</v>
      </c>
      <c r="D1211" s="117">
        <v>0.18</v>
      </c>
      <c r="E1211" s="107">
        <v>116.0</v>
      </c>
    </row>
    <row r="1212">
      <c r="A1212" s="111" t="s">
        <v>14</v>
      </c>
      <c r="B1212" s="111" t="s">
        <v>335</v>
      </c>
      <c r="C1212" s="113"/>
      <c r="D1212" s="113"/>
    </row>
    <row r="1213">
      <c r="A1213" s="111" t="s">
        <v>14</v>
      </c>
      <c r="B1213" s="111" t="s">
        <v>336</v>
      </c>
      <c r="C1213" s="113"/>
      <c r="D1213" s="113"/>
    </row>
    <row r="1214">
      <c r="A1214" s="111" t="s">
        <v>14</v>
      </c>
      <c r="B1214" s="111" t="s">
        <v>337</v>
      </c>
      <c r="C1214" s="113"/>
      <c r="D1214" s="113"/>
    </row>
    <row r="1215">
      <c r="A1215" s="111" t="s">
        <v>14</v>
      </c>
      <c r="B1215" s="111" t="s">
        <v>338</v>
      </c>
      <c r="C1215" s="113"/>
      <c r="D1215" s="113"/>
    </row>
    <row r="1216">
      <c r="A1216" s="111" t="s">
        <v>14</v>
      </c>
      <c r="B1216" s="111" t="s">
        <v>339</v>
      </c>
      <c r="C1216" s="113"/>
      <c r="D1216" s="113"/>
    </row>
    <row r="1217">
      <c r="A1217" s="111" t="s">
        <v>14</v>
      </c>
      <c r="B1217" s="111" t="s">
        <v>340</v>
      </c>
      <c r="C1217" s="113"/>
      <c r="D1217" s="113"/>
    </row>
    <row r="1218">
      <c r="A1218" s="111" t="s">
        <v>14</v>
      </c>
      <c r="B1218" s="111" t="s">
        <v>341</v>
      </c>
      <c r="C1218" s="113"/>
      <c r="D1218" s="113"/>
    </row>
    <row r="1219">
      <c r="A1219" s="111" t="s">
        <v>14</v>
      </c>
      <c r="B1219" s="111" t="s">
        <v>342</v>
      </c>
      <c r="C1219" s="113"/>
      <c r="D1219" s="113"/>
    </row>
    <row r="1220">
      <c r="A1220" s="111" t="s">
        <v>14</v>
      </c>
      <c r="B1220" s="111" t="s">
        <v>343</v>
      </c>
      <c r="C1220" s="113"/>
      <c r="D1220" s="113"/>
    </row>
    <row r="1221">
      <c r="A1221" s="111" t="s">
        <v>14</v>
      </c>
      <c r="B1221" s="111" t="s">
        <v>344</v>
      </c>
      <c r="C1221" s="113"/>
      <c r="D1221" s="113"/>
    </row>
    <row r="1222">
      <c r="A1222" s="111" t="s">
        <v>14</v>
      </c>
      <c r="B1222" s="111" t="s">
        <v>345</v>
      </c>
      <c r="C1222" s="113"/>
      <c r="D1222" s="113"/>
    </row>
    <row r="1223">
      <c r="A1223" s="111" t="s">
        <v>14</v>
      </c>
      <c r="B1223" s="111" t="s">
        <v>346</v>
      </c>
      <c r="C1223" s="113"/>
      <c r="D1223" s="113"/>
    </row>
    <row r="1224">
      <c r="A1224" s="111" t="s">
        <v>14</v>
      </c>
      <c r="B1224" s="111" t="s">
        <v>347</v>
      </c>
      <c r="C1224" s="113"/>
      <c r="D1224" s="113"/>
    </row>
    <row r="1225">
      <c r="A1225" s="111" t="s">
        <v>14</v>
      </c>
      <c r="B1225" s="111" t="s">
        <v>348</v>
      </c>
      <c r="C1225" s="113"/>
      <c r="D1225" s="113"/>
    </row>
    <row r="1226">
      <c r="A1226" s="111" t="s">
        <v>14</v>
      </c>
      <c r="B1226" s="111" t="s">
        <v>349</v>
      </c>
      <c r="C1226" s="113"/>
      <c r="D1226" s="113"/>
      <c r="E1226" s="118"/>
    </row>
    <row r="1227">
      <c r="A1227" s="111" t="s">
        <v>14</v>
      </c>
      <c r="B1227" s="111" t="s">
        <v>350</v>
      </c>
      <c r="C1227" s="113"/>
      <c r="D1227" s="113"/>
      <c r="E1227" s="118"/>
    </row>
    <row r="1228">
      <c r="A1228" s="111" t="s">
        <v>14</v>
      </c>
      <c r="B1228" s="111" t="s">
        <v>351</v>
      </c>
      <c r="C1228" s="113"/>
      <c r="D1228" s="113"/>
      <c r="E1228" s="118"/>
    </row>
    <row r="1229">
      <c r="A1229" s="111" t="s">
        <v>14</v>
      </c>
      <c r="B1229" s="111" t="s">
        <v>352</v>
      </c>
      <c r="C1229" s="113"/>
      <c r="D1229" s="117"/>
      <c r="E1229" s="118"/>
    </row>
    <row r="1230">
      <c r="A1230" s="111" t="s">
        <v>14</v>
      </c>
      <c r="B1230" s="111" t="s">
        <v>353</v>
      </c>
      <c r="C1230" s="113"/>
      <c r="D1230" s="117"/>
      <c r="E1230" s="118"/>
    </row>
    <row r="1231">
      <c r="A1231" s="111" t="s">
        <v>14</v>
      </c>
      <c r="B1231" s="111" t="s">
        <v>354</v>
      </c>
      <c r="C1231" s="113"/>
      <c r="D1231" s="117"/>
      <c r="E1231" s="118"/>
    </row>
    <row r="1232">
      <c r="A1232" s="111" t="s">
        <v>14</v>
      </c>
      <c r="B1232" s="111" t="s">
        <v>355</v>
      </c>
      <c r="C1232" s="113"/>
      <c r="D1232" s="117"/>
      <c r="E1232" s="118"/>
    </row>
    <row r="1233">
      <c r="A1233" s="111" t="s">
        <v>14</v>
      </c>
      <c r="B1233" s="111" t="s">
        <v>356</v>
      </c>
      <c r="C1233" s="113"/>
      <c r="D1233" s="117"/>
      <c r="E1233" s="118"/>
    </row>
    <row r="1234">
      <c r="A1234" s="111" t="s">
        <v>14</v>
      </c>
      <c r="B1234" s="111" t="s">
        <v>357</v>
      </c>
      <c r="C1234" s="117">
        <v>1.0</v>
      </c>
      <c r="D1234" s="117">
        <v>0.5</v>
      </c>
      <c r="E1234" s="118">
        <v>0.2</v>
      </c>
    </row>
    <row r="1235">
      <c r="A1235" s="111" t="s">
        <v>14</v>
      </c>
      <c r="B1235" s="111" t="s">
        <v>358</v>
      </c>
      <c r="C1235" s="117">
        <v>1.0</v>
      </c>
      <c r="D1235" s="117">
        <v>0.5</v>
      </c>
      <c r="E1235" s="118">
        <v>0.2</v>
      </c>
    </row>
    <row r="1236">
      <c r="A1236" s="111" t="s">
        <v>14</v>
      </c>
      <c r="B1236" s="111" t="s">
        <v>359</v>
      </c>
      <c r="C1236" s="117">
        <v>1.0</v>
      </c>
      <c r="D1236" s="117">
        <v>0.5</v>
      </c>
      <c r="E1236" s="118">
        <v>0.2</v>
      </c>
    </row>
    <row r="1237">
      <c r="A1237" s="111" t="s">
        <v>14</v>
      </c>
      <c r="B1237" s="111" t="s">
        <v>360</v>
      </c>
      <c r="C1237" s="117">
        <v>-0.3</v>
      </c>
      <c r="D1237" s="117">
        <v>0.5</v>
      </c>
      <c r="E1237" s="118">
        <v>0.2</v>
      </c>
    </row>
    <row r="1238">
      <c r="A1238" s="111" t="s">
        <v>14</v>
      </c>
      <c r="B1238" s="111" t="s">
        <v>361</v>
      </c>
      <c r="C1238" s="117">
        <v>-0.3</v>
      </c>
      <c r="D1238" s="117">
        <v>0.5</v>
      </c>
      <c r="E1238" s="118">
        <v>0.2</v>
      </c>
    </row>
    <row r="1239">
      <c r="A1239" s="111" t="s">
        <v>14</v>
      </c>
      <c r="B1239" s="111" t="s">
        <v>362</v>
      </c>
      <c r="C1239" s="117">
        <v>-0.3</v>
      </c>
      <c r="D1239" s="117">
        <v>0.5</v>
      </c>
      <c r="E1239" s="118">
        <v>0.2</v>
      </c>
    </row>
    <row r="1240">
      <c r="A1240" s="111" t="s">
        <v>14</v>
      </c>
      <c r="B1240" s="111" t="s">
        <v>363</v>
      </c>
      <c r="C1240" s="117">
        <v>-0.16</v>
      </c>
      <c r="D1240" s="117">
        <v>0.5</v>
      </c>
      <c r="E1240" s="118">
        <v>0.2</v>
      </c>
    </row>
    <row r="1241">
      <c r="A1241" s="111" t="s">
        <v>14</v>
      </c>
      <c r="B1241" s="111" t="s">
        <v>364</v>
      </c>
      <c r="C1241" s="117">
        <v>0.07</v>
      </c>
      <c r="D1241" s="117">
        <v>0.5</v>
      </c>
      <c r="E1241" s="118">
        <v>0.2</v>
      </c>
    </row>
    <row r="1242">
      <c r="A1242" s="111" t="s">
        <v>14</v>
      </c>
      <c r="B1242" s="111" t="s">
        <v>365</v>
      </c>
      <c r="C1242" s="117">
        <v>0.81</v>
      </c>
      <c r="D1242" s="117">
        <v>0.5</v>
      </c>
      <c r="E1242" s="118">
        <v>1.0</v>
      </c>
    </row>
    <row r="1243">
      <c r="A1243" s="111" t="s">
        <v>14</v>
      </c>
      <c r="B1243" s="111" t="s">
        <v>366</v>
      </c>
      <c r="C1243" s="117">
        <v>1.0</v>
      </c>
      <c r="D1243" s="117">
        <v>0.5</v>
      </c>
      <c r="E1243" s="118">
        <v>1.0</v>
      </c>
    </row>
    <row r="1244">
      <c r="A1244" s="111" t="s">
        <v>14</v>
      </c>
      <c r="B1244" s="111" t="s">
        <v>367</v>
      </c>
      <c r="C1244" s="117">
        <v>1.0</v>
      </c>
      <c r="D1244" s="117">
        <v>0.5</v>
      </c>
      <c r="E1244" s="118">
        <v>1.0</v>
      </c>
    </row>
    <row r="1245">
      <c r="A1245" s="111" t="s">
        <v>14</v>
      </c>
      <c r="B1245" s="111" t="s">
        <v>368</v>
      </c>
      <c r="C1245" s="117">
        <v>1.0</v>
      </c>
      <c r="D1245" s="117">
        <v>0.5</v>
      </c>
      <c r="E1245" s="118">
        <v>1.0</v>
      </c>
    </row>
    <row r="1246">
      <c r="A1246" s="111" t="s">
        <v>14</v>
      </c>
      <c r="B1246" s="111" t="s">
        <v>369</v>
      </c>
      <c r="C1246" s="117">
        <v>1.0</v>
      </c>
      <c r="D1246" s="117">
        <v>0.5</v>
      </c>
      <c r="E1246" s="118">
        <v>2.1</v>
      </c>
    </row>
    <row r="1247">
      <c r="A1247" s="111" t="s">
        <v>14</v>
      </c>
      <c r="B1247" s="111" t="s">
        <v>370</v>
      </c>
      <c r="C1247" s="117">
        <v>1.0</v>
      </c>
      <c r="D1247" s="117">
        <v>0.5</v>
      </c>
      <c r="E1247" s="118">
        <v>2.1</v>
      </c>
    </row>
    <row r="1248">
      <c r="A1248" s="111" t="s">
        <v>14</v>
      </c>
      <c r="B1248" s="111" t="s">
        <v>371</v>
      </c>
      <c r="C1248" s="117">
        <v>1.0</v>
      </c>
      <c r="D1248" s="117">
        <v>0.5</v>
      </c>
      <c r="E1248" s="118">
        <v>2.1</v>
      </c>
    </row>
    <row r="1249">
      <c r="A1249" s="111" t="s">
        <v>14</v>
      </c>
      <c r="B1249" s="111" t="s">
        <v>372</v>
      </c>
      <c r="C1249" s="117">
        <v>1.0</v>
      </c>
      <c r="D1249" s="117">
        <v>0.5</v>
      </c>
      <c r="E1249" s="118">
        <v>2.1</v>
      </c>
    </row>
    <row r="1250">
      <c r="A1250" s="111" t="s">
        <v>14</v>
      </c>
      <c r="B1250" s="111" t="s">
        <v>373</v>
      </c>
      <c r="C1250" s="117">
        <v>1.0</v>
      </c>
      <c r="D1250" s="117">
        <v>0.5</v>
      </c>
      <c r="E1250" s="118">
        <v>3.3</v>
      </c>
    </row>
    <row r="1251">
      <c r="A1251" s="111" t="s">
        <v>14</v>
      </c>
      <c r="B1251" s="111" t="s">
        <v>374</v>
      </c>
      <c r="C1251" s="117">
        <v>0.85</v>
      </c>
      <c r="D1251" s="117">
        <v>0.5</v>
      </c>
      <c r="E1251" s="118">
        <v>3.3</v>
      </c>
    </row>
    <row r="1252">
      <c r="A1252" s="111" t="s">
        <v>14</v>
      </c>
      <c r="B1252" s="111" t="s">
        <v>375</v>
      </c>
      <c r="C1252" s="117">
        <v>0.71</v>
      </c>
      <c r="D1252" s="117">
        <v>0.5</v>
      </c>
      <c r="E1252" s="118">
        <v>3.3</v>
      </c>
    </row>
    <row r="1253">
      <c r="A1253" s="111" t="s">
        <v>14</v>
      </c>
      <c r="B1253" s="111" t="s">
        <v>376</v>
      </c>
      <c r="C1253" s="117">
        <v>0.56</v>
      </c>
      <c r="D1253" s="117">
        <v>0.5</v>
      </c>
      <c r="E1253" s="118">
        <v>3.3</v>
      </c>
    </row>
    <row r="1254">
      <c r="A1254" s="111" t="s">
        <v>14</v>
      </c>
      <c r="B1254" s="111" t="s">
        <v>377</v>
      </c>
      <c r="C1254" s="117">
        <v>0.59</v>
      </c>
      <c r="D1254" s="117">
        <v>0.5</v>
      </c>
      <c r="E1254" s="118">
        <v>5.7</v>
      </c>
    </row>
    <row r="1255">
      <c r="A1255" s="111" t="s">
        <v>14</v>
      </c>
      <c r="B1255" s="111" t="s">
        <v>378</v>
      </c>
      <c r="C1255" s="117">
        <v>0.63</v>
      </c>
      <c r="D1255" s="117">
        <v>0.5</v>
      </c>
      <c r="E1255" s="118">
        <v>5.7</v>
      </c>
    </row>
    <row r="1256">
      <c r="A1256" s="111" t="s">
        <v>14</v>
      </c>
      <c r="B1256" s="111" t="s">
        <v>379</v>
      </c>
      <c r="C1256" s="117">
        <v>0.66</v>
      </c>
      <c r="D1256" s="117">
        <v>0.5</v>
      </c>
      <c r="E1256" s="118">
        <v>5.7</v>
      </c>
    </row>
    <row r="1257">
      <c r="A1257" s="111" t="s">
        <v>14</v>
      </c>
      <c r="B1257" s="111" t="s">
        <v>380</v>
      </c>
      <c r="C1257" s="117">
        <v>0.69</v>
      </c>
      <c r="D1257" s="117">
        <v>0.5</v>
      </c>
      <c r="E1257" s="118">
        <v>5.7</v>
      </c>
    </row>
    <row r="1258">
      <c r="A1258" s="111" t="s">
        <v>14</v>
      </c>
      <c r="B1258" s="111" t="s">
        <v>381</v>
      </c>
      <c r="C1258" s="117">
        <v>0.52</v>
      </c>
      <c r="D1258" s="117">
        <v>0.5</v>
      </c>
      <c r="E1258" s="118">
        <v>5.7</v>
      </c>
    </row>
    <row r="1259">
      <c r="A1259" s="111" t="s">
        <v>14</v>
      </c>
      <c r="B1259" s="111" t="s">
        <v>382</v>
      </c>
      <c r="C1259" s="117">
        <v>0.35</v>
      </c>
      <c r="D1259" s="117">
        <v>0.5</v>
      </c>
      <c r="E1259" s="118">
        <v>5.7</v>
      </c>
    </row>
    <row r="1260">
      <c r="A1260" s="111" t="s">
        <v>14</v>
      </c>
      <c r="B1260" s="111" t="s">
        <v>383</v>
      </c>
      <c r="C1260" s="117">
        <v>0.18</v>
      </c>
      <c r="D1260" s="117">
        <v>0.5</v>
      </c>
      <c r="E1260" s="118">
        <v>5.7</v>
      </c>
    </row>
    <row r="1261">
      <c r="A1261" s="111" t="s">
        <v>14</v>
      </c>
      <c r="B1261" s="111" t="s">
        <v>384</v>
      </c>
      <c r="C1261" s="117">
        <v>0.02</v>
      </c>
      <c r="D1261" s="117">
        <v>0.5</v>
      </c>
      <c r="E1261" s="118">
        <v>5.7</v>
      </c>
    </row>
    <row r="1262">
      <c r="A1262" s="111" t="s">
        <v>14</v>
      </c>
      <c r="B1262" s="111" t="s">
        <v>385</v>
      </c>
      <c r="C1262" s="117">
        <v>0.11</v>
      </c>
      <c r="D1262" s="117">
        <v>0.5</v>
      </c>
      <c r="E1262" s="118">
        <v>7.9</v>
      </c>
    </row>
    <row r="1263">
      <c r="A1263" s="111" t="s">
        <v>14</v>
      </c>
      <c r="B1263" s="111" t="s">
        <v>386</v>
      </c>
      <c r="C1263" s="117">
        <v>0.2</v>
      </c>
      <c r="D1263" s="117">
        <v>0.5</v>
      </c>
      <c r="E1263" s="118">
        <v>7.9</v>
      </c>
    </row>
    <row r="1264">
      <c r="A1264" s="111" t="s">
        <v>14</v>
      </c>
      <c r="B1264" s="111" t="s">
        <v>387</v>
      </c>
      <c r="C1264" s="117">
        <v>0.29</v>
      </c>
      <c r="D1264" s="117">
        <v>0.47</v>
      </c>
      <c r="E1264" s="118">
        <v>7.9</v>
      </c>
    </row>
    <row r="1265">
      <c r="A1265" s="111" t="s">
        <v>14</v>
      </c>
      <c r="B1265" s="111" t="s">
        <v>388</v>
      </c>
      <c r="C1265" s="117">
        <v>0.38</v>
      </c>
      <c r="D1265" s="117">
        <v>0.35</v>
      </c>
      <c r="E1265" s="118">
        <v>7.9</v>
      </c>
    </row>
    <row r="1266">
      <c r="A1266" s="111" t="s">
        <v>14</v>
      </c>
      <c r="B1266" s="111" t="s">
        <v>389</v>
      </c>
      <c r="C1266" s="117">
        <v>0.4</v>
      </c>
      <c r="D1266" s="117">
        <v>0.38</v>
      </c>
      <c r="E1266" s="107">
        <v>12.0</v>
      </c>
    </row>
    <row r="1267">
      <c r="A1267" s="111" t="s">
        <v>14</v>
      </c>
      <c r="B1267" s="111" t="s">
        <v>390</v>
      </c>
      <c r="C1267" s="117">
        <v>0.43</v>
      </c>
      <c r="D1267" s="117">
        <v>0.42</v>
      </c>
      <c r="E1267" s="107">
        <v>12.0</v>
      </c>
    </row>
    <row r="1268">
      <c r="A1268" s="111" t="s">
        <v>14</v>
      </c>
      <c r="B1268" s="111" t="s">
        <v>391</v>
      </c>
      <c r="C1268" s="117">
        <v>0.45</v>
      </c>
      <c r="D1268" s="117">
        <v>0.45</v>
      </c>
      <c r="E1268" s="107">
        <v>12.0</v>
      </c>
    </row>
    <row r="1269">
      <c r="A1269" s="111" t="s">
        <v>14</v>
      </c>
      <c r="B1269" s="111" t="s">
        <v>392</v>
      </c>
      <c r="C1269" s="117">
        <v>0.48</v>
      </c>
      <c r="D1269" s="117">
        <v>0.48</v>
      </c>
      <c r="E1269" s="107">
        <v>12.0</v>
      </c>
    </row>
    <row r="1270">
      <c r="A1270" s="111" t="s">
        <v>14</v>
      </c>
      <c r="B1270" s="111" t="s">
        <v>393</v>
      </c>
      <c r="C1270" s="117">
        <v>0.42</v>
      </c>
      <c r="D1270" s="117">
        <v>0.46</v>
      </c>
      <c r="E1270" s="107">
        <v>15.0</v>
      </c>
    </row>
    <row r="1271">
      <c r="A1271" s="111" t="s">
        <v>14</v>
      </c>
      <c r="B1271" s="111" t="s">
        <v>394</v>
      </c>
      <c r="C1271" s="117">
        <v>0.37</v>
      </c>
      <c r="D1271" s="117">
        <v>0.43</v>
      </c>
      <c r="E1271" s="107">
        <v>15.0</v>
      </c>
    </row>
    <row r="1272">
      <c r="A1272" s="111" t="s">
        <v>14</v>
      </c>
      <c r="B1272" s="111" t="s">
        <v>395</v>
      </c>
      <c r="C1272" s="117">
        <v>0.31</v>
      </c>
      <c r="D1272" s="117">
        <v>0.41</v>
      </c>
      <c r="E1272" s="107">
        <v>15.0</v>
      </c>
    </row>
    <row r="1273">
      <c r="A1273" s="111" t="s">
        <v>14</v>
      </c>
      <c r="B1273" s="111" t="s">
        <v>396</v>
      </c>
      <c r="C1273" s="117">
        <v>0.26</v>
      </c>
      <c r="D1273" s="117">
        <v>0.38</v>
      </c>
      <c r="E1273" s="107">
        <v>15.0</v>
      </c>
    </row>
    <row r="1274">
      <c r="A1274" s="111" t="s">
        <v>14</v>
      </c>
      <c r="B1274" s="111" t="s">
        <v>397</v>
      </c>
      <c r="C1274" s="117">
        <v>0.24</v>
      </c>
      <c r="D1274" s="117">
        <v>0.39</v>
      </c>
      <c r="E1274" s="107">
        <v>17.0</v>
      </c>
    </row>
    <row r="1275">
      <c r="A1275" s="111" t="s">
        <v>14</v>
      </c>
      <c r="B1275" s="111" t="s">
        <v>398</v>
      </c>
      <c r="C1275" s="117">
        <v>0.22</v>
      </c>
      <c r="D1275" s="117">
        <v>0.39</v>
      </c>
      <c r="E1275" s="107">
        <v>17.0</v>
      </c>
    </row>
    <row r="1276">
      <c r="A1276" s="111" t="s">
        <v>14</v>
      </c>
      <c r="B1276" s="111" t="s">
        <v>399</v>
      </c>
      <c r="C1276" s="117">
        <v>0.2</v>
      </c>
      <c r="D1276" s="117">
        <v>0.39</v>
      </c>
      <c r="E1276" s="107">
        <v>17.0</v>
      </c>
    </row>
    <row r="1277">
      <c r="A1277" s="111" t="s">
        <v>14</v>
      </c>
      <c r="B1277" s="111" t="s">
        <v>400</v>
      </c>
      <c r="C1277" s="117">
        <v>0.18</v>
      </c>
      <c r="D1277" s="117">
        <v>0.39</v>
      </c>
      <c r="E1277" s="107">
        <v>17.0</v>
      </c>
    </row>
    <row r="1278">
      <c r="A1278" s="111" t="s">
        <v>14</v>
      </c>
      <c r="B1278" s="111" t="s">
        <v>401</v>
      </c>
      <c r="C1278" s="117">
        <v>0.22</v>
      </c>
      <c r="D1278" s="117">
        <v>0.38</v>
      </c>
      <c r="E1278" s="107">
        <v>23.0</v>
      </c>
    </row>
    <row r="1279">
      <c r="A1279" s="111" t="s">
        <v>14</v>
      </c>
      <c r="B1279" s="111" t="s">
        <v>402</v>
      </c>
      <c r="C1279" s="117">
        <v>0.26</v>
      </c>
      <c r="D1279" s="117">
        <v>0.37</v>
      </c>
      <c r="E1279" s="107">
        <v>23.0</v>
      </c>
    </row>
    <row r="1280">
      <c r="A1280" s="111" t="s">
        <v>14</v>
      </c>
      <c r="B1280" s="111" t="s">
        <v>403</v>
      </c>
      <c r="C1280" s="117">
        <v>0.3</v>
      </c>
      <c r="D1280" s="117">
        <v>0.36</v>
      </c>
      <c r="E1280" s="107">
        <v>23.0</v>
      </c>
    </row>
    <row r="1281">
      <c r="A1281" s="111" t="s">
        <v>14</v>
      </c>
      <c r="B1281" s="111" t="s">
        <v>404</v>
      </c>
      <c r="C1281" s="117">
        <v>0.34</v>
      </c>
      <c r="D1281" s="117">
        <v>0.35</v>
      </c>
      <c r="E1281" s="107">
        <v>23.0</v>
      </c>
    </row>
    <row r="1282">
      <c r="A1282" s="111" t="s">
        <v>14</v>
      </c>
      <c r="B1282" s="111" t="s">
        <v>405</v>
      </c>
      <c r="C1282" s="117">
        <v>0.25</v>
      </c>
      <c r="D1282" s="117">
        <v>0.44</v>
      </c>
      <c r="E1282" s="107">
        <v>23.0</v>
      </c>
    </row>
    <row r="1283">
      <c r="A1283" s="111" t="s">
        <v>14</v>
      </c>
      <c r="B1283" s="111" t="s">
        <v>406</v>
      </c>
      <c r="C1283" s="117">
        <v>0.16</v>
      </c>
      <c r="D1283" s="117">
        <v>0.5</v>
      </c>
      <c r="E1283" s="107">
        <v>23.0</v>
      </c>
    </row>
    <row r="1284">
      <c r="A1284" s="111" t="s">
        <v>14</v>
      </c>
      <c r="B1284" s="111" t="s">
        <v>407</v>
      </c>
      <c r="C1284" s="117">
        <v>0.07</v>
      </c>
      <c r="D1284" s="117">
        <v>0.5</v>
      </c>
      <c r="E1284" s="107">
        <v>23.0</v>
      </c>
    </row>
    <row r="1285">
      <c r="A1285" s="111" t="s">
        <v>14</v>
      </c>
      <c r="B1285" s="111" t="s">
        <v>408</v>
      </c>
      <c r="C1285" s="117">
        <v>-0.02</v>
      </c>
      <c r="D1285" s="117">
        <v>0.5</v>
      </c>
      <c r="E1285" s="107">
        <v>23.0</v>
      </c>
    </row>
    <row r="1286">
      <c r="A1286" s="111" t="s">
        <v>14</v>
      </c>
      <c r="B1286" s="111" t="s">
        <v>409</v>
      </c>
      <c r="C1286" s="117">
        <v>0.05</v>
      </c>
      <c r="D1286" s="117">
        <v>0.5</v>
      </c>
      <c r="E1286" s="107">
        <v>29.0</v>
      </c>
    </row>
    <row r="1287">
      <c r="A1287" s="111" t="s">
        <v>14</v>
      </c>
      <c r="B1287" s="111" t="s">
        <v>410</v>
      </c>
      <c r="C1287" s="117">
        <v>0.12</v>
      </c>
      <c r="D1287" s="117">
        <v>0.5</v>
      </c>
      <c r="E1287" s="107">
        <v>29.0</v>
      </c>
    </row>
    <row r="1288">
      <c r="A1288" s="111" t="s">
        <v>14</v>
      </c>
      <c r="B1288" s="111" t="s">
        <v>411</v>
      </c>
      <c r="C1288" s="117">
        <v>0.19</v>
      </c>
      <c r="D1288" s="117">
        <v>0.5</v>
      </c>
      <c r="E1288" s="107">
        <v>29.0</v>
      </c>
    </row>
    <row r="1289">
      <c r="A1289" s="111" t="s">
        <v>14</v>
      </c>
      <c r="B1289" s="111" t="s">
        <v>412</v>
      </c>
      <c r="C1289" s="117">
        <v>0.25</v>
      </c>
      <c r="D1289" s="117">
        <v>0.5</v>
      </c>
      <c r="E1289" s="107">
        <v>29.0</v>
      </c>
    </row>
    <row r="1290">
      <c r="A1290" s="111" t="s">
        <v>14</v>
      </c>
      <c r="B1290" s="111" t="s">
        <v>413</v>
      </c>
      <c r="C1290" s="117">
        <v>0.29</v>
      </c>
      <c r="D1290" s="117">
        <v>0.5</v>
      </c>
      <c r="E1290" s="107">
        <v>40.0</v>
      </c>
    </row>
    <row r="1291">
      <c r="A1291" s="111" t="s">
        <v>14</v>
      </c>
      <c r="B1291" s="111" t="s">
        <v>414</v>
      </c>
      <c r="C1291" s="117">
        <v>0.32</v>
      </c>
      <c r="D1291" s="117">
        <v>0.37</v>
      </c>
      <c r="E1291" s="107">
        <v>40.0</v>
      </c>
    </row>
    <row r="1292">
      <c r="A1292" s="111" t="s">
        <v>14</v>
      </c>
      <c r="B1292" s="111" t="s">
        <v>415</v>
      </c>
      <c r="C1292" s="117">
        <v>0.35</v>
      </c>
      <c r="D1292" s="117">
        <v>0.24</v>
      </c>
      <c r="E1292" s="107">
        <v>40.0</v>
      </c>
    </row>
    <row r="1293">
      <c r="A1293" s="111" t="s">
        <v>14</v>
      </c>
      <c r="B1293" s="111" t="s">
        <v>416</v>
      </c>
      <c r="C1293" s="117">
        <v>0.39</v>
      </c>
      <c r="D1293" s="117">
        <v>0.11</v>
      </c>
      <c r="E1293" s="107">
        <v>40.0</v>
      </c>
    </row>
    <row r="1294">
      <c r="A1294" s="111" t="s">
        <v>14</v>
      </c>
      <c r="B1294" s="111" t="s">
        <v>417</v>
      </c>
      <c r="C1294" s="117">
        <v>0.92</v>
      </c>
      <c r="D1294" s="117">
        <v>0.06</v>
      </c>
      <c r="E1294" s="107">
        <v>141.0</v>
      </c>
    </row>
    <row r="1295">
      <c r="A1295" s="111" t="s">
        <v>14</v>
      </c>
      <c r="B1295" s="111" t="s">
        <v>418</v>
      </c>
      <c r="C1295" s="117">
        <v>1.0</v>
      </c>
      <c r="D1295" s="117">
        <v>0.01</v>
      </c>
      <c r="E1295" s="107">
        <v>141.0</v>
      </c>
    </row>
    <row r="1296">
      <c r="A1296" s="111" t="s">
        <v>14</v>
      </c>
      <c r="B1296" s="111" t="s">
        <v>419</v>
      </c>
      <c r="C1296" s="117">
        <v>1.0</v>
      </c>
      <c r="D1296" s="117">
        <v>-0.03</v>
      </c>
      <c r="E1296" s="107">
        <v>141.0</v>
      </c>
    </row>
    <row r="1297">
      <c r="A1297" s="111" t="s">
        <v>14</v>
      </c>
      <c r="B1297" s="111" t="s">
        <v>420</v>
      </c>
      <c r="C1297" s="117">
        <v>1.0</v>
      </c>
      <c r="D1297" s="117">
        <v>-0.08</v>
      </c>
      <c r="E1297" s="107">
        <v>141.0</v>
      </c>
    </row>
    <row r="1298">
      <c r="A1298" s="111" t="s">
        <v>14</v>
      </c>
      <c r="B1298" s="111" t="s">
        <v>421</v>
      </c>
      <c r="C1298" s="117">
        <v>1.0</v>
      </c>
      <c r="D1298" s="117">
        <v>-0.11</v>
      </c>
      <c r="E1298" s="111">
        <v>57.1</v>
      </c>
    </row>
    <row r="1299">
      <c r="A1299" s="111" t="s">
        <v>14</v>
      </c>
      <c r="B1299" s="111" t="s">
        <v>422</v>
      </c>
      <c r="C1299" s="117">
        <v>0.97</v>
      </c>
      <c r="D1299" s="117">
        <v>-0.13</v>
      </c>
      <c r="E1299" s="111">
        <v>57.1</v>
      </c>
    </row>
    <row r="1300">
      <c r="A1300" s="111" t="s">
        <v>14</v>
      </c>
      <c r="B1300" s="111" t="s">
        <v>423</v>
      </c>
      <c r="C1300" s="117">
        <v>0.2</v>
      </c>
      <c r="D1300" s="117">
        <v>-0.17</v>
      </c>
      <c r="E1300" s="111">
        <v>62.3</v>
      </c>
    </row>
    <row r="1301">
      <c r="A1301" s="111" t="s">
        <v>14</v>
      </c>
      <c r="B1301" s="111" t="s">
        <v>424</v>
      </c>
      <c r="C1301" s="117">
        <v>-0.3</v>
      </c>
      <c r="D1301" s="117">
        <v>-0.2</v>
      </c>
      <c r="E1301" s="111">
        <v>62.3</v>
      </c>
    </row>
    <row r="1302">
      <c r="A1302" s="111" t="s">
        <v>14</v>
      </c>
      <c r="B1302" s="111" t="s">
        <v>425</v>
      </c>
      <c r="C1302" s="117">
        <v>-0.3</v>
      </c>
      <c r="D1302" s="117">
        <v>-0.17</v>
      </c>
      <c r="E1302" s="111">
        <v>70.9</v>
      </c>
    </row>
    <row r="1303">
      <c r="A1303" s="111" t="s">
        <v>14</v>
      </c>
      <c r="B1303" s="111" t="s">
        <v>426</v>
      </c>
      <c r="C1303" s="117">
        <v>-0.16</v>
      </c>
      <c r="D1303" s="117">
        <v>-0.14</v>
      </c>
      <c r="E1303" s="111">
        <v>70.9</v>
      </c>
    </row>
    <row r="1304">
      <c r="A1304" s="111" t="s">
        <v>14</v>
      </c>
      <c r="B1304" s="111" t="s">
        <v>427</v>
      </c>
      <c r="C1304" s="117">
        <v>-0.21</v>
      </c>
      <c r="D1304" s="117">
        <v>0.5</v>
      </c>
      <c r="E1304" s="111">
        <v>15.8</v>
      </c>
    </row>
    <row r="1305">
      <c r="A1305" s="111" t="s">
        <v>14</v>
      </c>
      <c r="B1305" s="111" t="s">
        <v>428</v>
      </c>
      <c r="C1305" s="117">
        <v>-0.25</v>
      </c>
      <c r="D1305" s="117">
        <v>0.5</v>
      </c>
      <c r="E1305" s="111">
        <v>15.8</v>
      </c>
    </row>
    <row r="1306">
      <c r="A1306" s="111" t="s">
        <v>14</v>
      </c>
      <c r="B1306" s="111" t="s">
        <v>429</v>
      </c>
      <c r="C1306" s="117">
        <v>-0.3</v>
      </c>
      <c r="D1306" s="117">
        <v>0.5</v>
      </c>
      <c r="E1306" s="111">
        <v>7.4</v>
      </c>
    </row>
    <row r="1307">
      <c r="A1307" s="111" t="s">
        <v>14</v>
      </c>
      <c r="B1307" s="111" t="s">
        <v>430</v>
      </c>
      <c r="C1307" s="117">
        <v>-0.3</v>
      </c>
      <c r="D1307" s="117">
        <v>0.5</v>
      </c>
      <c r="E1307" s="111">
        <v>7.4</v>
      </c>
    </row>
    <row r="1308">
      <c r="A1308" s="111" t="s">
        <v>14</v>
      </c>
      <c r="B1308" s="111" t="s">
        <v>431</v>
      </c>
      <c r="C1308" s="117">
        <v>-0.3</v>
      </c>
      <c r="D1308" s="117">
        <v>0.5</v>
      </c>
      <c r="E1308" s="111">
        <v>5.1</v>
      </c>
    </row>
    <row r="1309">
      <c r="A1309" s="111" t="s">
        <v>14</v>
      </c>
      <c r="B1309" s="111" t="s">
        <v>432</v>
      </c>
      <c r="C1309" s="117">
        <v>-0.3</v>
      </c>
      <c r="D1309" s="117">
        <v>0.5</v>
      </c>
      <c r="E1309" s="111">
        <v>18.1</v>
      </c>
    </row>
    <row r="1310">
      <c r="A1310" s="111" t="s">
        <v>14</v>
      </c>
      <c r="B1310" s="111" t="s">
        <v>433</v>
      </c>
      <c r="C1310" s="117">
        <v>0.0</v>
      </c>
      <c r="D1310" s="117">
        <v>0.5</v>
      </c>
      <c r="E1310" s="111">
        <v>18.1</v>
      </c>
    </row>
    <row r="1311">
      <c r="A1311" s="111" t="s">
        <v>14</v>
      </c>
      <c r="B1311" s="111" t="s">
        <v>434</v>
      </c>
      <c r="C1311" s="117">
        <v>0.88</v>
      </c>
      <c r="D1311" s="117">
        <v>0.5</v>
      </c>
      <c r="E1311" s="111">
        <v>27.0</v>
      </c>
    </row>
    <row r="1312">
      <c r="A1312" s="111" t="s">
        <v>14</v>
      </c>
      <c r="B1312" s="111" t="s">
        <v>435</v>
      </c>
      <c r="C1312" s="117">
        <v>1.0</v>
      </c>
      <c r="D1312" s="117">
        <v>0.5</v>
      </c>
      <c r="E1312" s="111">
        <v>27.0</v>
      </c>
    </row>
    <row r="1313">
      <c r="A1313" s="111" t="s">
        <v>14</v>
      </c>
      <c r="B1313" s="111" t="s">
        <v>436</v>
      </c>
      <c r="C1313" s="117">
        <v>1.0</v>
      </c>
      <c r="D1313" s="117">
        <v>0.5</v>
      </c>
      <c r="E1313" s="111">
        <v>57.1</v>
      </c>
    </row>
    <row r="1314">
      <c r="A1314" s="111" t="s">
        <v>14</v>
      </c>
      <c r="B1314" s="111" t="s">
        <v>437</v>
      </c>
      <c r="C1314" s="117">
        <v>1.0</v>
      </c>
      <c r="D1314" s="117">
        <v>0.18</v>
      </c>
      <c r="E1314" s="111">
        <v>57.1</v>
      </c>
    </row>
    <row r="1315">
      <c r="A1315" s="111" t="s">
        <v>14</v>
      </c>
      <c r="B1315" s="111" t="s">
        <v>438</v>
      </c>
      <c r="C1315" s="117">
        <v>1.0</v>
      </c>
      <c r="D1315" s="117">
        <v>0.06</v>
      </c>
      <c r="E1315" s="111">
        <v>61.3</v>
      </c>
    </row>
    <row r="1316">
      <c r="A1316" s="111" t="s">
        <v>14</v>
      </c>
      <c r="B1316" s="111" t="s">
        <v>439</v>
      </c>
      <c r="C1316" s="117">
        <v>1.0</v>
      </c>
      <c r="D1316" s="117">
        <v>-0.05</v>
      </c>
      <c r="E1316" s="111">
        <v>61.3</v>
      </c>
    </row>
    <row r="1317">
      <c r="A1317" s="111" t="s">
        <v>14</v>
      </c>
      <c r="B1317" s="111" t="s">
        <v>440</v>
      </c>
      <c r="C1317" s="117">
        <v>1.0</v>
      </c>
      <c r="D1317" s="117">
        <v>-0.1</v>
      </c>
      <c r="E1317" s="111">
        <v>79.5</v>
      </c>
    </row>
    <row r="1318">
      <c r="A1318" s="111" t="s">
        <v>14</v>
      </c>
      <c r="B1318" s="111" t="s">
        <v>441</v>
      </c>
      <c r="C1318" s="117">
        <v>0.83</v>
      </c>
      <c r="D1318" s="117">
        <v>-0.15</v>
      </c>
      <c r="E1318" s="111">
        <v>79.5</v>
      </c>
    </row>
    <row r="1319">
      <c r="A1319" s="111" t="s">
        <v>14</v>
      </c>
      <c r="B1319" s="111" t="s">
        <v>442</v>
      </c>
      <c r="C1319" s="117">
        <v>0.56</v>
      </c>
      <c r="D1319" s="117">
        <v>-0.19</v>
      </c>
      <c r="E1319" s="111">
        <v>73.8</v>
      </c>
    </row>
    <row r="1320">
      <c r="A1320" s="111" t="s">
        <v>14</v>
      </c>
      <c r="B1320" s="111" t="s">
        <v>443</v>
      </c>
      <c r="C1320" s="117">
        <v>0.3</v>
      </c>
      <c r="D1320" s="117">
        <v>-0.23</v>
      </c>
      <c r="E1320" s="111">
        <v>73.8</v>
      </c>
    </row>
    <row r="1321">
      <c r="A1321" s="111" t="s">
        <v>14</v>
      </c>
      <c r="B1321" s="111" t="s">
        <v>444</v>
      </c>
      <c r="C1321" s="117"/>
      <c r="D1321" s="117"/>
    </row>
    <row r="1322">
      <c r="A1322" s="111" t="s">
        <v>18</v>
      </c>
      <c r="B1322" s="111" t="s">
        <v>335</v>
      </c>
      <c r="C1322" s="113"/>
      <c r="D1322" s="113"/>
    </row>
    <row r="1323">
      <c r="A1323" s="111" t="s">
        <v>18</v>
      </c>
      <c r="B1323" s="111" t="s">
        <v>336</v>
      </c>
      <c r="C1323" s="113"/>
      <c r="D1323" s="113"/>
    </row>
    <row r="1324">
      <c r="A1324" s="111" t="s">
        <v>18</v>
      </c>
      <c r="B1324" s="111" t="s">
        <v>337</v>
      </c>
      <c r="C1324" s="113"/>
      <c r="D1324" s="113"/>
    </row>
    <row r="1325">
      <c r="A1325" s="111" t="s">
        <v>18</v>
      </c>
      <c r="B1325" s="111" t="s">
        <v>338</v>
      </c>
      <c r="C1325" s="113"/>
      <c r="D1325" s="113"/>
    </row>
    <row r="1326">
      <c r="A1326" s="111" t="s">
        <v>18</v>
      </c>
      <c r="B1326" s="111" t="s">
        <v>339</v>
      </c>
      <c r="C1326" s="113"/>
      <c r="D1326" s="113"/>
    </row>
    <row r="1327">
      <c r="A1327" s="111" t="s">
        <v>18</v>
      </c>
      <c r="B1327" s="111" t="s">
        <v>340</v>
      </c>
      <c r="C1327" s="113"/>
      <c r="D1327" s="113"/>
    </row>
    <row r="1328">
      <c r="A1328" s="111" t="s">
        <v>18</v>
      </c>
      <c r="B1328" s="111" t="s">
        <v>341</v>
      </c>
      <c r="C1328" s="113"/>
      <c r="D1328" s="113"/>
    </row>
    <row r="1329">
      <c r="A1329" s="111" t="s">
        <v>18</v>
      </c>
      <c r="B1329" s="111" t="s">
        <v>342</v>
      </c>
      <c r="C1329" s="113"/>
      <c r="D1329" s="113"/>
    </row>
    <row r="1330">
      <c r="A1330" s="111" t="s">
        <v>18</v>
      </c>
      <c r="B1330" s="111" t="s">
        <v>343</v>
      </c>
      <c r="C1330" s="113"/>
      <c r="D1330" s="113"/>
    </row>
    <row r="1331">
      <c r="A1331" s="111" t="s">
        <v>18</v>
      </c>
      <c r="B1331" s="111" t="s">
        <v>344</v>
      </c>
      <c r="C1331" s="113"/>
      <c r="D1331" s="113"/>
    </row>
    <row r="1332">
      <c r="A1332" s="111" t="s">
        <v>18</v>
      </c>
      <c r="B1332" s="111" t="s">
        <v>345</v>
      </c>
      <c r="C1332" s="113"/>
      <c r="D1332" s="113"/>
    </row>
    <row r="1333">
      <c r="A1333" s="111" t="s">
        <v>18</v>
      </c>
      <c r="B1333" s="111" t="s">
        <v>346</v>
      </c>
      <c r="C1333" s="113"/>
      <c r="D1333" s="113"/>
    </row>
    <row r="1334">
      <c r="A1334" s="111" t="s">
        <v>18</v>
      </c>
      <c r="B1334" s="111" t="s">
        <v>347</v>
      </c>
      <c r="C1334" s="113"/>
      <c r="D1334" s="113"/>
    </row>
    <row r="1335">
      <c r="A1335" s="111" t="s">
        <v>18</v>
      </c>
      <c r="B1335" s="111" t="s">
        <v>348</v>
      </c>
      <c r="C1335" s="113"/>
      <c r="D1335" s="113"/>
    </row>
    <row r="1336">
      <c r="A1336" s="111" t="s">
        <v>18</v>
      </c>
      <c r="B1336" s="111" t="s">
        <v>349</v>
      </c>
      <c r="C1336" s="113"/>
      <c r="D1336" s="113"/>
    </row>
    <row r="1337">
      <c r="A1337" s="111" t="s">
        <v>18</v>
      </c>
      <c r="B1337" s="111" t="s">
        <v>350</v>
      </c>
      <c r="C1337" s="113"/>
      <c r="D1337" s="113"/>
    </row>
    <row r="1338">
      <c r="A1338" s="111" t="s">
        <v>18</v>
      </c>
      <c r="B1338" s="111" t="s">
        <v>351</v>
      </c>
      <c r="C1338" s="113"/>
      <c r="D1338" s="113"/>
    </row>
    <row r="1339">
      <c r="A1339" s="111" t="s">
        <v>18</v>
      </c>
      <c r="B1339" s="111" t="s">
        <v>352</v>
      </c>
      <c r="C1339" s="113"/>
      <c r="D1339" s="113"/>
    </row>
    <row r="1340">
      <c r="A1340" s="111" t="s">
        <v>18</v>
      </c>
      <c r="B1340" s="111" t="s">
        <v>353</v>
      </c>
      <c r="C1340" s="113"/>
      <c r="D1340" s="113"/>
    </row>
    <row r="1341">
      <c r="A1341" s="111" t="s">
        <v>18</v>
      </c>
      <c r="B1341" s="111" t="s">
        <v>354</v>
      </c>
      <c r="C1341" s="113"/>
      <c r="D1341" s="113"/>
    </row>
    <row r="1342">
      <c r="A1342" s="111" t="s">
        <v>18</v>
      </c>
      <c r="B1342" s="111" t="s">
        <v>355</v>
      </c>
      <c r="C1342" s="113"/>
      <c r="D1342" s="113"/>
    </row>
    <row r="1343">
      <c r="A1343" s="111" t="s">
        <v>18</v>
      </c>
      <c r="B1343" s="111" t="s">
        <v>356</v>
      </c>
      <c r="C1343" s="113"/>
      <c r="D1343" s="113"/>
    </row>
    <row r="1344">
      <c r="A1344" s="111" t="s">
        <v>18</v>
      </c>
      <c r="B1344" s="111" t="s">
        <v>357</v>
      </c>
      <c r="C1344" s="113"/>
      <c r="D1344" s="113"/>
    </row>
    <row r="1345">
      <c r="A1345" s="111" t="s">
        <v>18</v>
      </c>
      <c r="B1345" s="111" t="s">
        <v>358</v>
      </c>
      <c r="C1345" s="113"/>
      <c r="D1345" s="113"/>
    </row>
    <row r="1346">
      <c r="A1346" s="111" t="s">
        <v>18</v>
      </c>
      <c r="B1346" s="111" t="s">
        <v>359</v>
      </c>
      <c r="C1346" s="113"/>
      <c r="D1346" s="113"/>
    </row>
    <row r="1347">
      <c r="A1347" s="111" t="s">
        <v>18</v>
      </c>
      <c r="B1347" s="111" t="s">
        <v>360</v>
      </c>
      <c r="C1347" s="113"/>
      <c r="D1347" s="113"/>
    </row>
    <row r="1348">
      <c r="A1348" s="111" t="s">
        <v>18</v>
      </c>
      <c r="B1348" s="111" t="s">
        <v>361</v>
      </c>
      <c r="C1348" s="113"/>
      <c r="D1348" s="113"/>
    </row>
    <row r="1349">
      <c r="A1349" s="111" t="s">
        <v>18</v>
      </c>
      <c r="B1349" s="111" t="s">
        <v>362</v>
      </c>
      <c r="C1349" s="113"/>
      <c r="D1349" s="113"/>
    </row>
    <row r="1350">
      <c r="A1350" s="111" t="s">
        <v>18</v>
      </c>
      <c r="B1350" s="111" t="s">
        <v>363</v>
      </c>
      <c r="C1350" s="113"/>
      <c r="D1350" s="113"/>
    </row>
    <row r="1351">
      <c r="A1351" s="111" t="s">
        <v>18</v>
      </c>
      <c r="B1351" s="111" t="s">
        <v>364</v>
      </c>
      <c r="C1351" s="113"/>
      <c r="D1351" s="113"/>
    </row>
    <row r="1352">
      <c r="A1352" s="111" t="s">
        <v>18</v>
      </c>
      <c r="B1352" s="111" t="s">
        <v>365</v>
      </c>
      <c r="C1352" s="113"/>
      <c r="D1352" s="113"/>
    </row>
    <row r="1353">
      <c r="A1353" s="111" t="s">
        <v>18</v>
      </c>
      <c r="B1353" s="111" t="s">
        <v>366</v>
      </c>
      <c r="C1353" s="113"/>
      <c r="D1353" s="113"/>
    </row>
    <row r="1354">
      <c r="A1354" s="111" t="s">
        <v>18</v>
      </c>
      <c r="B1354" s="111" t="s">
        <v>367</v>
      </c>
      <c r="C1354" s="113"/>
      <c r="D1354" s="113"/>
    </row>
    <row r="1355">
      <c r="A1355" s="111" t="s">
        <v>18</v>
      </c>
      <c r="B1355" s="111" t="s">
        <v>368</v>
      </c>
      <c r="C1355" s="113"/>
      <c r="D1355" s="113"/>
    </row>
    <row r="1356">
      <c r="A1356" s="111" t="s">
        <v>18</v>
      </c>
      <c r="B1356" s="111" t="s">
        <v>369</v>
      </c>
      <c r="C1356" s="113"/>
      <c r="D1356" s="113"/>
    </row>
    <row r="1357">
      <c r="A1357" s="111" t="s">
        <v>18</v>
      </c>
      <c r="B1357" s="111" t="s">
        <v>370</v>
      </c>
      <c r="C1357" s="113"/>
      <c r="D1357" s="113"/>
    </row>
    <row r="1358">
      <c r="A1358" s="111" t="s">
        <v>18</v>
      </c>
      <c r="B1358" s="111" t="s">
        <v>371</v>
      </c>
      <c r="C1358" s="113"/>
      <c r="D1358" s="113"/>
    </row>
    <row r="1359">
      <c r="A1359" s="111" t="s">
        <v>18</v>
      </c>
      <c r="B1359" s="111" t="s">
        <v>372</v>
      </c>
      <c r="C1359" s="113"/>
      <c r="D1359" s="113"/>
    </row>
    <row r="1360">
      <c r="A1360" s="111" t="s">
        <v>18</v>
      </c>
      <c r="B1360" s="111" t="s">
        <v>373</v>
      </c>
      <c r="C1360" s="113"/>
      <c r="D1360" s="113"/>
    </row>
    <row r="1361">
      <c r="A1361" s="111" t="s">
        <v>18</v>
      </c>
      <c r="B1361" s="111" t="s">
        <v>374</v>
      </c>
      <c r="C1361" s="113"/>
      <c r="D1361" s="113"/>
    </row>
    <row r="1362">
      <c r="A1362" s="111" t="s">
        <v>18</v>
      </c>
      <c r="B1362" s="111" t="s">
        <v>375</v>
      </c>
      <c r="C1362" s="113"/>
      <c r="D1362" s="113"/>
    </row>
    <row r="1363">
      <c r="A1363" s="111" t="s">
        <v>18</v>
      </c>
      <c r="B1363" s="111" t="s">
        <v>376</v>
      </c>
      <c r="C1363" s="113"/>
      <c r="D1363" s="113"/>
    </row>
    <row r="1364">
      <c r="A1364" s="111" t="s">
        <v>18</v>
      </c>
      <c r="B1364" s="111" t="s">
        <v>377</v>
      </c>
      <c r="C1364" s="113"/>
      <c r="D1364" s="113"/>
    </row>
    <row r="1365">
      <c r="A1365" s="111" t="s">
        <v>18</v>
      </c>
      <c r="B1365" s="111" t="s">
        <v>378</v>
      </c>
      <c r="C1365" s="113"/>
      <c r="D1365" s="113"/>
    </row>
    <row r="1366">
      <c r="A1366" s="111" t="s">
        <v>18</v>
      </c>
      <c r="B1366" s="111" t="s">
        <v>379</v>
      </c>
      <c r="C1366" s="113"/>
      <c r="D1366" s="113"/>
    </row>
    <row r="1367">
      <c r="A1367" s="111" t="s">
        <v>18</v>
      </c>
      <c r="B1367" s="111" t="s">
        <v>380</v>
      </c>
      <c r="C1367" s="113"/>
      <c r="D1367" s="113"/>
    </row>
    <row r="1368">
      <c r="A1368" s="111" t="s">
        <v>18</v>
      </c>
      <c r="B1368" s="111" t="s">
        <v>381</v>
      </c>
      <c r="C1368" s="113"/>
      <c r="D1368" s="113"/>
    </row>
    <row r="1369">
      <c r="A1369" s="111" t="s">
        <v>18</v>
      </c>
      <c r="B1369" s="111" t="s">
        <v>382</v>
      </c>
      <c r="C1369" s="113"/>
      <c r="D1369" s="113"/>
    </row>
    <row r="1370">
      <c r="A1370" s="111" t="s">
        <v>18</v>
      </c>
      <c r="B1370" s="111" t="s">
        <v>383</v>
      </c>
      <c r="C1370" s="113"/>
      <c r="D1370" s="113"/>
    </row>
    <row r="1371">
      <c r="A1371" s="111" t="s">
        <v>18</v>
      </c>
      <c r="B1371" s="111" t="s">
        <v>384</v>
      </c>
      <c r="C1371" s="113"/>
      <c r="D1371" s="113"/>
    </row>
    <row r="1372">
      <c r="A1372" s="111" t="s">
        <v>18</v>
      </c>
      <c r="B1372" s="111" t="s">
        <v>385</v>
      </c>
      <c r="C1372" s="113"/>
      <c r="D1372" s="113"/>
    </row>
    <row r="1373">
      <c r="A1373" s="111" t="s">
        <v>18</v>
      </c>
      <c r="B1373" s="111" t="s">
        <v>386</v>
      </c>
      <c r="C1373" s="113"/>
      <c r="D1373" s="113"/>
    </row>
    <row r="1374">
      <c r="A1374" s="111" t="s">
        <v>18</v>
      </c>
      <c r="B1374" s="111" t="s">
        <v>387</v>
      </c>
      <c r="C1374" s="113"/>
      <c r="D1374" s="113"/>
    </row>
    <row r="1375">
      <c r="A1375" s="111" t="s">
        <v>18</v>
      </c>
      <c r="B1375" s="111" t="s">
        <v>388</v>
      </c>
      <c r="C1375" s="113"/>
      <c r="D1375" s="113"/>
    </row>
    <row r="1376">
      <c r="A1376" s="111" t="s">
        <v>18</v>
      </c>
      <c r="B1376" s="111" t="s">
        <v>389</v>
      </c>
      <c r="C1376" s="113"/>
      <c r="D1376" s="113"/>
    </row>
    <row r="1377">
      <c r="A1377" s="111" t="s">
        <v>18</v>
      </c>
      <c r="B1377" s="111" t="s">
        <v>390</v>
      </c>
      <c r="C1377" s="113"/>
      <c r="D1377" s="113"/>
    </row>
    <row r="1378">
      <c r="A1378" s="111" t="s">
        <v>18</v>
      </c>
      <c r="B1378" s="111" t="s">
        <v>391</v>
      </c>
      <c r="C1378" s="113"/>
      <c r="D1378" s="113"/>
    </row>
    <row r="1379">
      <c r="A1379" s="111" t="s">
        <v>18</v>
      </c>
      <c r="B1379" s="111" t="s">
        <v>392</v>
      </c>
      <c r="C1379" s="113"/>
      <c r="D1379" s="113"/>
    </row>
    <row r="1380">
      <c r="A1380" s="111" t="s">
        <v>18</v>
      </c>
      <c r="B1380" s="111" t="s">
        <v>393</v>
      </c>
      <c r="C1380" s="113"/>
      <c r="D1380" s="113"/>
    </row>
    <row r="1381">
      <c r="A1381" s="111" t="s">
        <v>18</v>
      </c>
      <c r="B1381" s="111" t="s">
        <v>394</v>
      </c>
      <c r="C1381" s="113"/>
      <c r="D1381" s="113"/>
    </row>
    <row r="1382">
      <c r="A1382" s="111" t="s">
        <v>18</v>
      </c>
      <c r="B1382" s="111" t="s">
        <v>395</v>
      </c>
      <c r="C1382" s="113"/>
      <c r="D1382" s="113"/>
      <c r="E1382" s="107"/>
    </row>
    <row r="1383">
      <c r="A1383" s="111" t="s">
        <v>18</v>
      </c>
      <c r="B1383" s="111" t="s">
        <v>396</v>
      </c>
      <c r="C1383" s="113"/>
      <c r="D1383" s="113"/>
      <c r="E1383" s="107"/>
    </row>
    <row r="1384">
      <c r="A1384" s="111" t="s">
        <v>18</v>
      </c>
      <c r="B1384" s="111" t="s">
        <v>397</v>
      </c>
      <c r="C1384" s="113"/>
      <c r="D1384" s="113"/>
      <c r="E1384" s="107"/>
    </row>
    <row r="1385">
      <c r="A1385" s="111" t="s">
        <v>18</v>
      </c>
      <c r="B1385" s="111" t="s">
        <v>398</v>
      </c>
      <c r="C1385" s="113"/>
      <c r="D1385" s="117"/>
      <c r="E1385" s="107"/>
    </row>
    <row r="1386">
      <c r="A1386" s="111" t="s">
        <v>18</v>
      </c>
      <c r="B1386" s="111" t="s">
        <v>399</v>
      </c>
      <c r="C1386" s="113"/>
      <c r="D1386" s="117"/>
      <c r="E1386" s="107"/>
    </row>
    <row r="1387">
      <c r="A1387" s="111" t="s">
        <v>18</v>
      </c>
      <c r="B1387" s="111" t="s">
        <v>400</v>
      </c>
      <c r="C1387" s="113"/>
      <c r="D1387" s="117"/>
      <c r="E1387" s="107"/>
    </row>
    <row r="1388">
      <c r="A1388" s="111" t="s">
        <v>18</v>
      </c>
      <c r="B1388" s="111" t="s">
        <v>401</v>
      </c>
      <c r="C1388" s="113"/>
      <c r="D1388" s="117"/>
      <c r="E1388" s="107"/>
    </row>
    <row r="1389">
      <c r="A1389" s="111" t="s">
        <v>18</v>
      </c>
      <c r="B1389" s="111" t="s">
        <v>402</v>
      </c>
      <c r="C1389" s="113"/>
      <c r="D1389" s="117"/>
      <c r="E1389" s="107"/>
    </row>
    <row r="1390">
      <c r="A1390" s="111" t="s">
        <v>18</v>
      </c>
      <c r="B1390" s="111" t="s">
        <v>403</v>
      </c>
      <c r="C1390" s="117">
        <v>0.55</v>
      </c>
      <c r="D1390" s="117">
        <v>0.17</v>
      </c>
      <c r="E1390" s="107">
        <v>45.0</v>
      </c>
    </row>
    <row r="1391">
      <c r="A1391" s="111" t="s">
        <v>18</v>
      </c>
      <c r="B1391" s="111" t="s">
        <v>404</v>
      </c>
      <c r="C1391" s="117">
        <v>0.38</v>
      </c>
      <c r="D1391" s="117">
        <v>0.17</v>
      </c>
      <c r="E1391" s="107">
        <v>45.0</v>
      </c>
    </row>
    <row r="1392">
      <c r="A1392" s="111" t="s">
        <v>18</v>
      </c>
      <c r="B1392" s="111" t="s">
        <v>405</v>
      </c>
      <c r="C1392" s="117">
        <v>0.22</v>
      </c>
      <c r="D1392" s="117">
        <v>0.16</v>
      </c>
      <c r="E1392" s="107">
        <v>45.0</v>
      </c>
    </row>
    <row r="1393">
      <c r="A1393" s="111" t="s">
        <v>18</v>
      </c>
      <c r="B1393" s="111" t="s">
        <v>406</v>
      </c>
      <c r="C1393" s="117">
        <v>0.05</v>
      </c>
      <c r="D1393" s="117">
        <v>0.16</v>
      </c>
      <c r="E1393" s="107">
        <v>45.0</v>
      </c>
    </row>
    <row r="1394">
      <c r="A1394" s="111" t="s">
        <v>18</v>
      </c>
      <c r="B1394" s="111" t="s">
        <v>407</v>
      </c>
      <c r="C1394" s="117">
        <v>0.17</v>
      </c>
      <c r="D1394" s="117">
        <v>0.11</v>
      </c>
      <c r="E1394" s="107">
        <v>68.0</v>
      </c>
    </row>
    <row r="1395">
      <c r="A1395" s="111" t="s">
        <v>18</v>
      </c>
      <c r="B1395" s="111" t="s">
        <v>408</v>
      </c>
      <c r="C1395" s="117">
        <v>0.29</v>
      </c>
      <c r="D1395" s="117">
        <v>0.06</v>
      </c>
      <c r="E1395" s="107">
        <v>68.0</v>
      </c>
    </row>
    <row r="1396">
      <c r="A1396" s="111" t="s">
        <v>18</v>
      </c>
      <c r="B1396" s="111" t="s">
        <v>409</v>
      </c>
      <c r="C1396" s="117">
        <v>0.41</v>
      </c>
      <c r="D1396" s="117">
        <v>0.01</v>
      </c>
      <c r="E1396" s="107">
        <v>68.0</v>
      </c>
    </row>
    <row r="1397">
      <c r="A1397" s="111" t="s">
        <v>18</v>
      </c>
      <c r="B1397" s="111" t="s">
        <v>410</v>
      </c>
      <c r="C1397" s="117">
        <v>0.52</v>
      </c>
      <c r="D1397" s="117">
        <v>-0.04</v>
      </c>
      <c r="E1397" s="107">
        <v>68.0</v>
      </c>
    </row>
    <row r="1398">
      <c r="A1398" s="111" t="s">
        <v>18</v>
      </c>
      <c r="B1398" s="111" t="s">
        <v>411</v>
      </c>
      <c r="C1398" s="117">
        <v>0.4</v>
      </c>
      <c r="D1398" s="117">
        <v>-0.01</v>
      </c>
      <c r="E1398" s="107">
        <v>69.0</v>
      </c>
    </row>
    <row r="1399">
      <c r="A1399" s="111" t="s">
        <v>18</v>
      </c>
      <c r="B1399" s="111" t="s">
        <v>412</v>
      </c>
      <c r="C1399" s="117">
        <v>0.27</v>
      </c>
      <c r="D1399" s="117">
        <v>0.02</v>
      </c>
      <c r="E1399" s="107">
        <v>69.0</v>
      </c>
    </row>
    <row r="1400">
      <c r="A1400" s="111" t="s">
        <v>18</v>
      </c>
      <c r="B1400" s="111" t="s">
        <v>413</v>
      </c>
      <c r="C1400" s="117">
        <v>0.14</v>
      </c>
      <c r="D1400" s="117">
        <v>0.06</v>
      </c>
      <c r="E1400" s="107">
        <v>69.0</v>
      </c>
    </row>
    <row r="1401">
      <c r="A1401" s="111" t="s">
        <v>18</v>
      </c>
      <c r="B1401" s="111" t="s">
        <v>414</v>
      </c>
      <c r="C1401" s="117">
        <v>0.01</v>
      </c>
      <c r="D1401" s="117">
        <v>0.09</v>
      </c>
      <c r="E1401" s="107">
        <v>69.0</v>
      </c>
    </row>
    <row r="1402">
      <c r="A1402" s="111" t="s">
        <v>18</v>
      </c>
      <c r="B1402" s="111" t="s">
        <v>415</v>
      </c>
      <c r="C1402" s="117">
        <v>0.04</v>
      </c>
      <c r="D1402" s="117">
        <v>0.08</v>
      </c>
      <c r="E1402" s="107">
        <v>78.0</v>
      </c>
    </row>
    <row r="1403">
      <c r="A1403" s="111" t="s">
        <v>18</v>
      </c>
      <c r="B1403" s="111" t="s">
        <v>416</v>
      </c>
      <c r="C1403" s="117">
        <v>0.07</v>
      </c>
      <c r="D1403" s="117">
        <v>0.06</v>
      </c>
      <c r="E1403" s="107">
        <v>78.0</v>
      </c>
    </row>
    <row r="1404">
      <c r="A1404" s="111" t="s">
        <v>18</v>
      </c>
      <c r="B1404" s="111" t="s">
        <v>417</v>
      </c>
      <c r="C1404" s="117">
        <v>0.1</v>
      </c>
      <c r="D1404" s="117">
        <v>0.05</v>
      </c>
      <c r="E1404" s="107">
        <v>78.0</v>
      </c>
    </row>
    <row r="1405">
      <c r="A1405" s="111" t="s">
        <v>18</v>
      </c>
      <c r="B1405" s="111" t="s">
        <v>418</v>
      </c>
      <c r="C1405" s="117">
        <v>0.13</v>
      </c>
      <c r="D1405" s="117">
        <v>0.03</v>
      </c>
      <c r="E1405" s="107">
        <v>78.0</v>
      </c>
    </row>
    <row r="1406">
      <c r="A1406" s="111" t="s">
        <v>18</v>
      </c>
      <c r="B1406" s="111" t="s">
        <v>419</v>
      </c>
      <c r="C1406" s="117">
        <v>0.11</v>
      </c>
      <c r="D1406" s="117">
        <v>0.05</v>
      </c>
      <c r="E1406" s="107">
        <v>83.0</v>
      </c>
    </row>
    <row r="1407">
      <c r="A1407" s="111" t="s">
        <v>18</v>
      </c>
      <c r="B1407" s="111" t="s">
        <v>420</v>
      </c>
      <c r="C1407" s="117">
        <v>0.1</v>
      </c>
      <c r="D1407" s="117">
        <v>0.06</v>
      </c>
      <c r="E1407" s="107">
        <v>83.0</v>
      </c>
    </row>
    <row r="1408">
      <c r="A1408" s="111" t="s">
        <v>18</v>
      </c>
      <c r="B1408" s="111" t="s">
        <v>421</v>
      </c>
      <c r="C1408" s="117">
        <v>0.09</v>
      </c>
      <c r="D1408" s="117">
        <v>0.08</v>
      </c>
      <c r="E1408" s="107">
        <v>83.0</v>
      </c>
    </row>
    <row r="1409">
      <c r="A1409" s="111" t="s">
        <v>18</v>
      </c>
      <c r="B1409" s="111" t="s">
        <v>422</v>
      </c>
      <c r="C1409" s="117">
        <v>0.07</v>
      </c>
      <c r="D1409" s="117">
        <v>0.1</v>
      </c>
      <c r="E1409" s="107">
        <v>83.0</v>
      </c>
    </row>
    <row r="1410">
      <c r="A1410" s="111" t="s">
        <v>18</v>
      </c>
      <c r="B1410" s="111" t="s">
        <v>423</v>
      </c>
      <c r="C1410" s="117">
        <v>0.1</v>
      </c>
      <c r="D1410" s="117">
        <v>0.11</v>
      </c>
      <c r="E1410" s="107">
        <v>98.0</v>
      </c>
    </row>
    <row r="1411">
      <c r="A1411" s="111" t="s">
        <v>18</v>
      </c>
      <c r="B1411" s="111" t="s">
        <v>424</v>
      </c>
      <c r="C1411" s="117">
        <v>0.13</v>
      </c>
      <c r="D1411" s="117">
        <v>0.13</v>
      </c>
      <c r="E1411" s="107">
        <v>98.0</v>
      </c>
    </row>
    <row r="1412">
      <c r="A1412" s="111" t="s">
        <v>18</v>
      </c>
      <c r="B1412" s="111" t="s">
        <v>425</v>
      </c>
      <c r="C1412" s="117">
        <v>0.15</v>
      </c>
      <c r="D1412" s="117">
        <v>0.14</v>
      </c>
      <c r="E1412" s="107">
        <v>98.0</v>
      </c>
    </row>
    <row r="1413">
      <c r="A1413" s="111" t="s">
        <v>18</v>
      </c>
      <c r="B1413" s="111" t="s">
        <v>426</v>
      </c>
      <c r="C1413" s="117">
        <v>0.18</v>
      </c>
      <c r="D1413" s="117">
        <v>0.16</v>
      </c>
      <c r="E1413" s="107">
        <v>98.0</v>
      </c>
    </row>
    <row r="1414">
      <c r="A1414" s="111" t="s">
        <v>18</v>
      </c>
      <c r="B1414" s="111" t="s">
        <v>427</v>
      </c>
      <c r="C1414" s="117">
        <v>-0.03</v>
      </c>
      <c r="D1414" s="117">
        <v>0.01</v>
      </c>
      <c r="E1414" s="107">
        <v>32.0</v>
      </c>
    </row>
    <row r="1415">
      <c r="A1415" s="111" t="s">
        <v>18</v>
      </c>
      <c r="B1415" s="111" t="s">
        <v>428</v>
      </c>
      <c r="C1415" s="117">
        <v>-0.25</v>
      </c>
      <c r="D1415" s="117">
        <v>-0.13</v>
      </c>
      <c r="E1415" s="107">
        <v>32.0</v>
      </c>
    </row>
    <row r="1416">
      <c r="A1416" s="111" t="s">
        <v>18</v>
      </c>
      <c r="B1416" s="111" t="s">
        <v>429</v>
      </c>
      <c r="C1416" s="117">
        <v>-0.3</v>
      </c>
      <c r="D1416" s="117">
        <v>-0.28</v>
      </c>
      <c r="E1416" s="107">
        <v>32.0</v>
      </c>
    </row>
    <row r="1417">
      <c r="A1417" s="111" t="s">
        <v>18</v>
      </c>
      <c r="B1417" s="111" t="s">
        <v>430</v>
      </c>
      <c r="C1417" s="117">
        <v>-0.3</v>
      </c>
      <c r="D1417" s="117">
        <v>-0.43</v>
      </c>
      <c r="E1417" s="107">
        <v>32.0</v>
      </c>
    </row>
    <row r="1418">
      <c r="A1418" s="111" t="s">
        <v>18</v>
      </c>
      <c r="B1418" s="111" t="s">
        <v>431</v>
      </c>
      <c r="C1418" s="117">
        <v>-0.3</v>
      </c>
      <c r="D1418" s="117">
        <v>-0.32</v>
      </c>
      <c r="E1418" s="107">
        <v>47.0</v>
      </c>
    </row>
    <row r="1419">
      <c r="A1419" s="111" t="s">
        <v>18</v>
      </c>
      <c r="B1419" s="111" t="s">
        <v>432</v>
      </c>
      <c r="C1419" s="117">
        <v>-0.11</v>
      </c>
      <c r="D1419" s="117">
        <v>-0.21</v>
      </c>
      <c r="E1419" s="107">
        <v>47.0</v>
      </c>
    </row>
    <row r="1420">
      <c r="A1420" s="111" t="s">
        <v>18</v>
      </c>
      <c r="B1420" s="111" t="s">
        <v>433</v>
      </c>
      <c r="C1420" s="117">
        <v>0.17</v>
      </c>
      <c r="D1420" s="117">
        <v>-0.11</v>
      </c>
      <c r="E1420" s="107">
        <v>47.0</v>
      </c>
    </row>
    <row r="1421">
      <c r="A1421" s="111" t="s">
        <v>18</v>
      </c>
      <c r="B1421" s="111" t="s">
        <v>434</v>
      </c>
      <c r="C1421" s="117">
        <v>0.45</v>
      </c>
      <c r="D1421" s="117">
        <v>0.0</v>
      </c>
      <c r="E1421" s="107">
        <v>47.0</v>
      </c>
    </row>
    <row r="1422">
      <c r="A1422" s="111" t="s">
        <v>18</v>
      </c>
      <c r="B1422" s="111" t="s">
        <v>435</v>
      </c>
      <c r="C1422" s="117">
        <v>0.52</v>
      </c>
      <c r="D1422" s="117">
        <v>0.0</v>
      </c>
      <c r="E1422" s="107">
        <v>82.0</v>
      </c>
    </row>
    <row r="1423">
      <c r="A1423" s="111" t="s">
        <v>18</v>
      </c>
      <c r="B1423" s="111" t="s">
        <v>436</v>
      </c>
      <c r="C1423" s="117">
        <v>0.6</v>
      </c>
      <c r="D1423" s="117">
        <v>0.01</v>
      </c>
      <c r="E1423" s="107">
        <v>82.0</v>
      </c>
    </row>
    <row r="1424">
      <c r="A1424" s="111" t="s">
        <v>18</v>
      </c>
      <c r="B1424" s="111" t="s">
        <v>437</v>
      </c>
      <c r="C1424" s="117">
        <v>0.68</v>
      </c>
      <c r="D1424" s="117">
        <v>0.01</v>
      </c>
      <c r="E1424" s="107">
        <v>82.0</v>
      </c>
    </row>
    <row r="1425">
      <c r="A1425" s="111" t="s">
        <v>18</v>
      </c>
      <c r="B1425" s="111" t="s">
        <v>438</v>
      </c>
      <c r="C1425" s="117">
        <v>0.76</v>
      </c>
      <c r="D1425" s="117">
        <v>0.02</v>
      </c>
      <c r="E1425" s="107">
        <v>82.0</v>
      </c>
    </row>
    <row r="1426">
      <c r="A1426" s="111" t="s">
        <v>18</v>
      </c>
      <c r="B1426" s="111" t="s">
        <v>439</v>
      </c>
      <c r="C1426" s="117">
        <v>0.6</v>
      </c>
      <c r="D1426" s="117">
        <v>0.04</v>
      </c>
      <c r="E1426" s="107">
        <v>91.0</v>
      </c>
    </row>
    <row r="1427">
      <c r="A1427" s="111" t="s">
        <v>18</v>
      </c>
      <c r="B1427" s="111" t="s">
        <v>440</v>
      </c>
      <c r="C1427" s="117">
        <v>0.43</v>
      </c>
      <c r="D1427" s="117">
        <v>0.06</v>
      </c>
      <c r="E1427" s="107">
        <v>91.0</v>
      </c>
    </row>
    <row r="1428">
      <c r="A1428" s="111" t="s">
        <v>18</v>
      </c>
      <c r="B1428" s="111" t="s">
        <v>441</v>
      </c>
      <c r="C1428" s="117">
        <v>0.27</v>
      </c>
      <c r="D1428" s="117">
        <v>0.08</v>
      </c>
      <c r="E1428" s="107">
        <v>91.0</v>
      </c>
    </row>
    <row r="1429">
      <c r="A1429" s="111" t="s">
        <v>18</v>
      </c>
      <c r="B1429" s="111" t="s">
        <v>442</v>
      </c>
      <c r="C1429" s="117">
        <v>0.1</v>
      </c>
      <c r="D1429" s="117">
        <v>0.1</v>
      </c>
      <c r="E1429" s="107">
        <v>91.0</v>
      </c>
    </row>
    <row r="1430">
      <c r="A1430" s="111" t="s">
        <v>18</v>
      </c>
      <c r="B1430" s="111" t="s">
        <v>443</v>
      </c>
      <c r="C1430" s="117"/>
      <c r="D1430" s="117"/>
    </row>
    <row r="1431">
      <c r="A1431" s="111" t="s">
        <v>18</v>
      </c>
      <c r="B1431" s="111" t="s">
        <v>444</v>
      </c>
      <c r="C1431" s="117"/>
      <c r="D1431" s="117"/>
    </row>
    <row r="1432">
      <c r="A1432" s="111" t="s">
        <v>19</v>
      </c>
      <c r="B1432" s="111" t="s">
        <v>335</v>
      </c>
      <c r="C1432" s="113"/>
      <c r="D1432" s="113"/>
    </row>
    <row r="1433">
      <c r="A1433" s="111" t="s">
        <v>19</v>
      </c>
      <c r="B1433" s="111" t="s">
        <v>336</v>
      </c>
      <c r="C1433" s="113"/>
      <c r="D1433" s="113"/>
    </row>
    <row r="1434">
      <c r="A1434" s="111" t="s">
        <v>19</v>
      </c>
      <c r="B1434" s="111" t="s">
        <v>337</v>
      </c>
      <c r="C1434" s="113"/>
      <c r="D1434" s="113"/>
    </row>
    <row r="1435">
      <c r="A1435" s="111" t="s">
        <v>19</v>
      </c>
      <c r="B1435" s="111" t="s">
        <v>338</v>
      </c>
      <c r="C1435" s="113"/>
      <c r="D1435" s="113"/>
    </row>
    <row r="1436">
      <c r="A1436" s="111" t="s">
        <v>19</v>
      </c>
      <c r="B1436" s="111" t="s">
        <v>339</v>
      </c>
      <c r="C1436" s="113"/>
      <c r="D1436" s="113"/>
    </row>
    <row r="1437">
      <c r="A1437" s="111" t="s">
        <v>19</v>
      </c>
      <c r="B1437" s="111" t="s">
        <v>340</v>
      </c>
      <c r="C1437" s="113"/>
      <c r="D1437" s="113"/>
    </row>
    <row r="1438">
      <c r="A1438" s="111" t="s">
        <v>19</v>
      </c>
      <c r="B1438" s="111" t="s">
        <v>341</v>
      </c>
      <c r="C1438" s="113"/>
      <c r="D1438" s="113"/>
    </row>
    <row r="1439">
      <c r="A1439" s="111" t="s">
        <v>19</v>
      </c>
      <c r="B1439" s="111" t="s">
        <v>342</v>
      </c>
      <c r="C1439" s="113"/>
      <c r="D1439" s="113"/>
    </row>
    <row r="1440">
      <c r="A1440" s="111" t="s">
        <v>19</v>
      </c>
      <c r="B1440" s="111" t="s">
        <v>343</v>
      </c>
      <c r="C1440" s="113"/>
      <c r="D1440" s="113"/>
    </row>
    <row r="1441">
      <c r="A1441" s="111" t="s">
        <v>19</v>
      </c>
      <c r="B1441" s="111" t="s">
        <v>344</v>
      </c>
      <c r="C1441" s="113"/>
      <c r="D1441" s="113"/>
    </row>
    <row r="1442">
      <c r="A1442" s="111" t="s">
        <v>19</v>
      </c>
      <c r="B1442" s="111" t="s">
        <v>345</v>
      </c>
      <c r="C1442" s="113"/>
      <c r="D1442" s="113"/>
    </row>
    <row r="1443">
      <c r="A1443" s="111" t="s">
        <v>19</v>
      </c>
      <c r="B1443" s="111" t="s">
        <v>346</v>
      </c>
      <c r="C1443" s="113"/>
      <c r="D1443" s="113"/>
    </row>
    <row r="1444">
      <c r="A1444" s="111" t="s">
        <v>19</v>
      </c>
      <c r="B1444" s="111" t="s">
        <v>347</v>
      </c>
      <c r="C1444" s="113"/>
      <c r="D1444" s="113"/>
    </row>
    <row r="1445">
      <c r="A1445" s="111" t="s">
        <v>19</v>
      </c>
      <c r="B1445" s="111" t="s">
        <v>348</v>
      </c>
      <c r="C1445" s="113"/>
      <c r="D1445" s="113"/>
    </row>
    <row r="1446">
      <c r="A1446" s="111" t="s">
        <v>19</v>
      </c>
      <c r="B1446" s="111" t="s">
        <v>349</v>
      </c>
      <c r="C1446" s="113"/>
      <c r="D1446" s="113"/>
    </row>
    <row r="1447">
      <c r="A1447" s="111" t="s">
        <v>19</v>
      </c>
      <c r="B1447" s="111" t="s">
        <v>350</v>
      </c>
      <c r="C1447" s="113"/>
      <c r="D1447" s="113"/>
    </row>
    <row r="1448">
      <c r="A1448" s="111" t="s">
        <v>19</v>
      </c>
      <c r="B1448" s="111" t="s">
        <v>351</v>
      </c>
      <c r="C1448" s="113"/>
      <c r="D1448" s="113"/>
    </row>
    <row r="1449">
      <c r="A1449" s="111" t="s">
        <v>19</v>
      </c>
      <c r="B1449" s="111" t="s">
        <v>352</v>
      </c>
      <c r="C1449" s="113"/>
      <c r="D1449" s="113"/>
    </row>
    <row r="1450">
      <c r="A1450" s="111" t="s">
        <v>19</v>
      </c>
      <c r="B1450" s="111" t="s">
        <v>353</v>
      </c>
      <c r="C1450" s="113"/>
      <c r="D1450" s="113"/>
    </row>
    <row r="1451">
      <c r="A1451" s="111" t="s">
        <v>19</v>
      </c>
      <c r="B1451" s="111" t="s">
        <v>354</v>
      </c>
      <c r="C1451" s="113"/>
      <c r="D1451" s="113"/>
    </row>
    <row r="1452">
      <c r="A1452" s="111" t="s">
        <v>19</v>
      </c>
      <c r="B1452" s="111" t="s">
        <v>355</v>
      </c>
      <c r="C1452" s="113"/>
      <c r="D1452" s="113"/>
    </row>
    <row r="1453">
      <c r="A1453" s="111" t="s">
        <v>19</v>
      </c>
      <c r="B1453" s="111" t="s">
        <v>356</v>
      </c>
      <c r="C1453" s="113"/>
      <c r="D1453" s="113"/>
    </row>
    <row r="1454">
      <c r="A1454" s="111" t="s">
        <v>19</v>
      </c>
      <c r="B1454" s="111" t="s">
        <v>357</v>
      </c>
      <c r="C1454" s="113"/>
      <c r="D1454" s="113"/>
    </row>
    <row r="1455">
      <c r="A1455" s="111" t="s">
        <v>19</v>
      </c>
      <c r="B1455" s="111" t="s">
        <v>358</v>
      </c>
      <c r="C1455" s="113"/>
      <c r="D1455" s="113"/>
    </row>
    <row r="1456">
      <c r="A1456" s="111" t="s">
        <v>19</v>
      </c>
      <c r="B1456" s="111" t="s">
        <v>359</v>
      </c>
      <c r="C1456" s="113"/>
      <c r="D1456" s="113"/>
    </row>
    <row r="1457">
      <c r="A1457" s="111" t="s">
        <v>19</v>
      </c>
      <c r="B1457" s="111" t="s">
        <v>360</v>
      </c>
      <c r="C1457" s="113"/>
      <c r="D1457" s="113"/>
    </row>
    <row r="1458">
      <c r="A1458" s="111" t="s">
        <v>19</v>
      </c>
      <c r="B1458" s="111" t="s">
        <v>361</v>
      </c>
      <c r="C1458" s="113"/>
      <c r="D1458" s="113"/>
    </row>
    <row r="1459">
      <c r="A1459" s="111" t="s">
        <v>19</v>
      </c>
      <c r="B1459" s="111" t="s">
        <v>362</v>
      </c>
      <c r="C1459" s="113"/>
      <c r="D1459" s="113"/>
    </row>
    <row r="1460">
      <c r="A1460" s="111" t="s">
        <v>19</v>
      </c>
      <c r="B1460" s="111" t="s">
        <v>363</v>
      </c>
      <c r="C1460" s="113"/>
      <c r="D1460" s="113"/>
    </row>
    <row r="1461">
      <c r="A1461" s="111" t="s">
        <v>19</v>
      </c>
      <c r="B1461" s="111" t="s">
        <v>364</v>
      </c>
      <c r="C1461" s="113"/>
      <c r="D1461" s="113"/>
    </row>
    <row r="1462">
      <c r="A1462" s="111" t="s">
        <v>19</v>
      </c>
      <c r="B1462" s="111" t="s">
        <v>365</v>
      </c>
      <c r="C1462" s="113"/>
      <c r="D1462" s="113"/>
    </row>
    <row r="1463">
      <c r="A1463" s="111" t="s">
        <v>19</v>
      </c>
      <c r="B1463" s="111" t="s">
        <v>366</v>
      </c>
      <c r="C1463" s="113"/>
      <c r="D1463" s="113"/>
    </row>
    <row r="1464">
      <c r="A1464" s="111" t="s">
        <v>19</v>
      </c>
      <c r="B1464" s="111" t="s">
        <v>367</v>
      </c>
      <c r="C1464" s="113"/>
      <c r="D1464" s="113"/>
    </row>
    <row r="1465">
      <c r="A1465" s="111" t="s">
        <v>19</v>
      </c>
      <c r="B1465" s="111" t="s">
        <v>368</v>
      </c>
      <c r="C1465" s="113"/>
      <c r="D1465" s="113"/>
    </row>
    <row r="1466">
      <c r="A1466" s="111" t="s">
        <v>19</v>
      </c>
      <c r="B1466" s="111" t="s">
        <v>369</v>
      </c>
      <c r="C1466" s="113"/>
      <c r="D1466" s="113"/>
    </row>
    <row r="1467">
      <c r="A1467" s="111" t="s">
        <v>19</v>
      </c>
      <c r="B1467" s="111" t="s">
        <v>370</v>
      </c>
      <c r="C1467" s="113"/>
      <c r="D1467" s="113"/>
    </row>
    <row r="1468">
      <c r="A1468" s="111" t="s">
        <v>19</v>
      </c>
      <c r="B1468" s="111" t="s">
        <v>371</v>
      </c>
      <c r="C1468" s="113"/>
      <c r="D1468" s="113"/>
    </row>
    <row r="1469">
      <c r="A1469" s="111" t="s">
        <v>19</v>
      </c>
      <c r="B1469" s="111" t="s">
        <v>372</v>
      </c>
      <c r="C1469" s="113"/>
      <c r="D1469" s="113"/>
    </row>
    <row r="1470">
      <c r="A1470" s="111" t="s">
        <v>19</v>
      </c>
      <c r="B1470" s="111" t="s">
        <v>373</v>
      </c>
      <c r="C1470" s="113"/>
      <c r="D1470" s="113"/>
    </row>
    <row r="1471">
      <c r="A1471" s="111" t="s">
        <v>19</v>
      </c>
      <c r="B1471" s="111" t="s">
        <v>374</v>
      </c>
      <c r="C1471" s="113"/>
      <c r="D1471" s="113"/>
    </row>
    <row r="1472">
      <c r="A1472" s="111" t="s">
        <v>19</v>
      </c>
      <c r="B1472" s="111" t="s">
        <v>375</v>
      </c>
      <c r="C1472" s="113"/>
      <c r="D1472" s="113"/>
    </row>
    <row r="1473">
      <c r="A1473" s="111" t="s">
        <v>19</v>
      </c>
      <c r="B1473" s="111" t="s">
        <v>376</v>
      </c>
      <c r="C1473" s="113"/>
      <c r="D1473" s="113"/>
    </row>
    <row r="1474">
      <c r="A1474" s="111" t="s">
        <v>19</v>
      </c>
      <c r="B1474" s="111" t="s">
        <v>377</v>
      </c>
      <c r="C1474" s="113"/>
      <c r="D1474" s="113"/>
    </row>
    <row r="1475">
      <c r="A1475" s="111" t="s">
        <v>19</v>
      </c>
      <c r="B1475" s="111" t="s">
        <v>378</v>
      </c>
      <c r="C1475" s="113"/>
      <c r="D1475" s="113"/>
    </row>
    <row r="1476">
      <c r="A1476" s="111" t="s">
        <v>19</v>
      </c>
      <c r="B1476" s="111" t="s">
        <v>379</v>
      </c>
      <c r="C1476" s="113"/>
      <c r="D1476" s="113"/>
    </row>
    <row r="1477">
      <c r="A1477" s="111" t="s">
        <v>19</v>
      </c>
      <c r="B1477" s="111" t="s">
        <v>380</v>
      </c>
      <c r="C1477" s="113"/>
      <c r="D1477" s="113"/>
    </row>
    <row r="1478">
      <c r="A1478" s="111" t="s">
        <v>19</v>
      </c>
      <c r="B1478" s="111" t="s">
        <v>381</v>
      </c>
      <c r="C1478" s="113"/>
      <c r="D1478" s="113"/>
    </row>
    <row r="1479">
      <c r="A1479" s="111" t="s">
        <v>19</v>
      </c>
      <c r="B1479" s="111" t="s">
        <v>382</v>
      </c>
      <c r="C1479" s="113"/>
      <c r="D1479" s="113"/>
    </row>
    <row r="1480">
      <c r="A1480" s="111" t="s">
        <v>19</v>
      </c>
      <c r="B1480" s="111" t="s">
        <v>383</v>
      </c>
      <c r="C1480" s="113"/>
      <c r="D1480" s="113"/>
    </row>
    <row r="1481">
      <c r="A1481" s="111" t="s">
        <v>19</v>
      </c>
      <c r="B1481" s="111" t="s">
        <v>384</v>
      </c>
      <c r="C1481" s="113"/>
      <c r="D1481" s="113"/>
    </row>
    <row r="1482">
      <c r="A1482" s="111" t="s">
        <v>19</v>
      </c>
      <c r="B1482" s="111" t="s">
        <v>385</v>
      </c>
      <c r="C1482" s="113"/>
      <c r="D1482" s="113"/>
    </row>
    <row r="1483">
      <c r="A1483" s="111" t="s">
        <v>19</v>
      </c>
      <c r="B1483" s="111" t="s">
        <v>386</v>
      </c>
      <c r="C1483" s="113"/>
      <c r="D1483" s="113"/>
    </row>
    <row r="1484">
      <c r="A1484" s="111" t="s">
        <v>19</v>
      </c>
      <c r="B1484" s="111" t="s">
        <v>387</v>
      </c>
      <c r="C1484" s="113"/>
      <c r="D1484" s="113"/>
    </row>
    <row r="1485">
      <c r="A1485" s="111" t="s">
        <v>19</v>
      </c>
      <c r="B1485" s="111" t="s">
        <v>388</v>
      </c>
      <c r="C1485" s="113"/>
      <c r="D1485" s="113"/>
    </row>
    <row r="1486">
      <c r="A1486" s="111" t="s">
        <v>19</v>
      </c>
      <c r="B1486" s="111" t="s">
        <v>389</v>
      </c>
      <c r="C1486" s="113"/>
      <c r="D1486" s="113"/>
    </row>
    <row r="1487">
      <c r="A1487" s="111" t="s">
        <v>19</v>
      </c>
      <c r="B1487" s="111" t="s">
        <v>390</v>
      </c>
      <c r="C1487" s="113"/>
      <c r="D1487" s="113"/>
    </row>
    <row r="1488">
      <c r="A1488" s="111" t="s">
        <v>19</v>
      </c>
      <c r="B1488" s="111" t="s">
        <v>391</v>
      </c>
      <c r="C1488" s="113"/>
      <c r="D1488" s="113"/>
    </row>
    <row r="1489">
      <c r="A1489" s="111" t="s">
        <v>19</v>
      </c>
      <c r="B1489" s="111" t="s">
        <v>392</v>
      </c>
      <c r="C1489" s="113"/>
      <c r="D1489" s="113"/>
    </row>
    <row r="1490">
      <c r="A1490" s="111" t="s">
        <v>19</v>
      </c>
      <c r="B1490" s="111" t="s">
        <v>393</v>
      </c>
      <c r="C1490" s="113"/>
      <c r="D1490" s="113"/>
    </row>
    <row r="1491">
      <c r="A1491" s="111" t="s">
        <v>19</v>
      </c>
      <c r="B1491" s="111" t="s">
        <v>394</v>
      </c>
      <c r="C1491" s="113"/>
      <c r="D1491" s="113"/>
    </row>
    <row r="1492">
      <c r="A1492" s="111" t="s">
        <v>19</v>
      </c>
      <c r="B1492" s="111" t="s">
        <v>395</v>
      </c>
      <c r="C1492" s="113"/>
      <c r="D1492" s="113"/>
    </row>
    <row r="1493">
      <c r="A1493" s="111" t="s">
        <v>19</v>
      </c>
      <c r="B1493" s="111" t="s">
        <v>396</v>
      </c>
      <c r="C1493" s="113"/>
      <c r="D1493" s="113"/>
    </row>
    <row r="1494">
      <c r="A1494" s="111" t="s">
        <v>19</v>
      </c>
      <c r="B1494" s="111" t="s">
        <v>397</v>
      </c>
      <c r="C1494" s="113"/>
      <c r="D1494" s="113"/>
    </row>
    <row r="1495">
      <c r="A1495" s="111" t="s">
        <v>19</v>
      </c>
      <c r="B1495" s="111" t="s">
        <v>398</v>
      </c>
      <c r="C1495" s="113"/>
      <c r="D1495" s="113"/>
    </row>
    <row r="1496">
      <c r="A1496" s="111" t="s">
        <v>19</v>
      </c>
      <c r="B1496" s="111" t="s">
        <v>399</v>
      </c>
      <c r="C1496" s="113"/>
      <c r="D1496" s="113"/>
    </row>
    <row r="1497">
      <c r="A1497" s="111" t="s">
        <v>19</v>
      </c>
      <c r="B1497" s="111" t="s">
        <v>400</v>
      </c>
      <c r="C1497" s="113"/>
      <c r="D1497" s="113"/>
    </row>
    <row r="1498">
      <c r="A1498" s="111" t="s">
        <v>19</v>
      </c>
      <c r="B1498" s="111" t="s">
        <v>401</v>
      </c>
      <c r="C1498" s="113"/>
      <c r="D1498" s="113"/>
    </row>
    <row r="1499">
      <c r="A1499" s="111" t="s">
        <v>19</v>
      </c>
      <c r="B1499" s="111" t="s">
        <v>402</v>
      </c>
      <c r="C1499" s="113"/>
      <c r="D1499" s="113"/>
    </row>
    <row r="1500">
      <c r="A1500" s="111" t="s">
        <v>19</v>
      </c>
      <c r="B1500" s="111" t="s">
        <v>403</v>
      </c>
      <c r="C1500" s="113"/>
      <c r="D1500" s="113"/>
    </row>
    <row r="1501">
      <c r="A1501" s="111" t="s">
        <v>19</v>
      </c>
      <c r="B1501" s="111" t="s">
        <v>404</v>
      </c>
      <c r="C1501" s="113"/>
      <c r="D1501" s="113"/>
    </row>
    <row r="1502">
      <c r="A1502" s="111" t="s">
        <v>19</v>
      </c>
      <c r="B1502" s="111" t="s">
        <v>405</v>
      </c>
      <c r="C1502" s="113"/>
      <c r="D1502" s="113"/>
    </row>
    <row r="1503">
      <c r="A1503" s="111" t="s">
        <v>19</v>
      </c>
      <c r="B1503" s="111" t="s">
        <v>406</v>
      </c>
      <c r="C1503" s="113"/>
      <c r="D1503" s="113"/>
    </row>
    <row r="1504">
      <c r="A1504" s="111" t="s">
        <v>19</v>
      </c>
      <c r="B1504" s="111" t="s">
        <v>407</v>
      </c>
      <c r="C1504" s="113"/>
      <c r="D1504" s="113"/>
    </row>
    <row r="1505">
      <c r="A1505" s="111" t="s">
        <v>19</v>
      </c>
      <c r="B1505" s="111" t="s">
        <v>408</v>
      </c>
      <c r="C1505" s="113"/>
      <c r="D1505" s="113"/>
    </row>
    <row r="1506">
      <c r="A1506" s="111" t="s">
        <v>19</v>
      </c>
      <c r="B1506" s="111" t="s">
        <v>409</v>
      </c>
      <c r="C1506" s="113"/>
      <c r="D1506" s="113"/>
    </row>
    <row r="1507">
      <c r="A1507" s="111" t="s">
        <v>19</v>
      </c>
      <c r="B1507" s="111" t="s">
        <v>410</v>
      </c>
      <c r="C1507" s="113"/>
      <c r="D1507" s="113"/>
    </row>
    <row r="1508">
      <c r="A1508" s="111" t="s">
        <v>19</v>
      </c>
      <c r="B1508" s="111" t="s">
        <v>411</v>
      </c>
      <c r="C1508" s="113"/>
      <c r="D1508" s="113"/>
    </row>
    <row r="1509">
      <c r="A1509" s="111" t="s">
        <v>19</v>
      </c>
      <c r="B1509" s="111" t="s">
        <v>412</v>
      </c>
      <c r="C1509" s="113"/>
      <c r="D1509" s="113"/>
      <c r="E1509" s="118"/>
    </row>
    <row r="1510">
      <c r="A1510" s="111" t="s">
        <v>19</v>
      </c>
      <c r="B1510" s="111" t="s">
        <v>413</v>
      </c>
      <c r="C1510" s="113"/>
      <c r="D1510" s="113"/>
      <c r="E1510" s="118"/>
    </row>
    <row r="1511">
      <c r="A1511" s="111" t="s">
        <v>19</v>
      </c>
      <c r="B1511" s="111" t="s">
        <v>414</v>
      </c>
      <c r="C1511" s="113"/>
      <c r="D1511" s="113"/>
      <c r="E1511" s="118"/>
    </row>
    <row r="1512">
      <c r="A1512" s="111" t="s">
        <v>19</v>
      </c>
      <c r="B1512" s="111" t="s">
        <v>415</v>
      </c>
      <c r="C1512" s="113"/>
      <c r="D1512" s="117"/>
      <c r="E1512" s="118"/>
    </row>
    <row r="1513">
      <c r="A1513" s="111" t="s">
        <v>19</v>
      </c>
      <c r="B1513" s="111" t="s">
        <v>416</v>
      </c>
      <c r="C1513" s="113"/>
      <c r="D1513" s="117"/>
      <c r="E1513" s="118"/>
    </row>
    <row r="1514">
      <c r="A1514" s="111" t="s">
        <v>19</v>
      </c>
      <c r="B1514" s="111" t="s">
        <v>417</v>
      </c>
      <c r="C1514" s="113"/>
      <c r="D1514" s="117"/>
      <c r="E1514" s="118"/>
    </row>
    <row r="1515">
      <c r="A1515" s="111" t="s">
        <v>19</v>
      </c>
      <c r="B1515" s="111" t="s">
        <v>418</v>
      </c>
      <c r="C1515" s="113"/>
      <c r="D1515" s="117"/>
      <c r="E1515" s="118"/>
    </row>
    <row r="1516">
      <c r="A1516" s="111" t="s">
        <v>19</v>
      </c>
      <c r="B1516" s="111" t="s">
        <v>419</v>
      </c>
      <c r="C1516" s="113"/>
      <c r="D1516" s="117"/>
      <c r="E1516" s="118"/>
    </row>
    <row r="1517">
      <c r="A1517" s="111" t="s">
        <v>19</v>
      </c>
      <c r="B1517" s="111" t="s">
        <v>420</v>
      </c>
      <c r="C1517" s="117">
        <v>0.66</v>
      </c>
      <c r="D1517" s="117">
        <v>0.09</v>
      </c>
      <c r="E1517" s="118">
        <v>7.1</v>
      </c>
    </row>
    <row r="1518">
      <c r="A1518" s="111" t="s">
        <v>19</v>
      </c>
      <c r="B1518" s="111" t="s">
        <v>421</v>
      </c>
      <c r="C1518" s="117">
        <v>0.35</v>
      </c>
      <c r="D1518" s="117">
        <v>0.12</v>
      </c>
      <c r="E1518" s="118">
        <v>7.1</v>
      </c>
    </row>
    <row r="1519">
      <c r="A1519" s="111" t="s">
        <v>19</v>
      </c>
      <c r="B1519" s="111" t="s">
        <v>422</v>
      </c>
      <c r="C1519" s="117">
        <v>0.04</v>
      </c>
      <c r="D1519" s="117">
        <v>0.14</v>
      </c>
      <c r="E1519" s="118">
        <v>7.1</v>
      </c>
    </row>
    <row r="1520">
      <c r="A1520" s="111" t="s">
        <v>19</v>
      </c>
      <c r="B1520" s="111" t="s">
        <v>423</v>
      </c>
      <c r="C1520" s="117">
        <v>-0.27</v>
      </c>
      <c r="D1520" s="117">
        <v>0.17</v>
      </c>
      <c r="E1520" s="118">
        <v>7.1</v>
      </c>
    </row>
    <row r="1521">
      <c r="A1521" s="111" t="s">
        <v>19</v>
      </c>
      <c r="B1521" s="111" t="s">
        <v>424</v>
      </c>
      <c r="C1521" s="117">
        <v>-0.25</v>
      </c>
      <c r="D1521" s="117">
        <v>0.19</v>
      </c>
      <c r="E1521" s="118">
        <v>5.6</v>
      </c>
    </row>
    <row r="1522">
      <c r="A1522" s="111" t="s">
        <v>19</v>
      </c>
      <c r="B1522" s="111" t="s">
        <v>425</v>
      </c>
      <c r="C1522" s="117">
        <v>-0.24</v>
      </c>
      <c r="D1522" s="117">
        <v>0.22</v>
      </c>
      <c r="E1522" s="118">
        <v>5.6</v>
      </c>
    </row>
    <row r="1523">
      <c r="A1523" s="111" t="s">
        <v>19</v>
      </c>
      <c r="B1523" s="111" t="s">
        <v>426</v>
      </c>
      <c r="C1523" s="117">
        <v>-0.22</v>
      </c>
      <c r="D1523" s="117">
        <v>0.24</v>
      </c>
      <c r="E1523" s="118">
        <v>5.6</v>
      </c>
    </row>
    <row r="1524">
      <c r="A1524" s="111" t="s">
        <v>19</v>
      </c>
      <c r="B1524" s="111" t="s">
        <v>427</v>
      </c>
      <c r="C1524" s="117">
        <v>-0.2</v>
      </c>
      <c r="D1524" s="117">
        <v>0.26</v>
      </c>
      <c r="E1524" s="118">
        <v>5.6</v>
      </c>
    </row>
    <row r="1525">
      <c r="A1525" s="111" t="s">
        <v>19</v>
      </c>
      <c r="B1525" s="111" t="s">
        <v>428</v>
      </c>
      <c r="C1525" s="117">
        <v>-0.19</v>
      </c>
      <c r="D1525" s="117">
        <v>0.34</v>
      </c>
      <c r="E1525" s="118">
        <v>4.8</v>
      </c>
    </row>
    <row r="1526">
      <c r="A1526" s="111" t="s">
        <v>19</v>
      </c>
      <c r="B1526" s="111" t="s">
        <v>429</v>
      </c>
      <c r="C1526" s="117">
        <v>-0.18</v>
      </c>
      <c r="D1526" s="117">
        <v>0.41</v>
      </c>
      <c r="E1526" s="118">
        <v>4.8</v>
      </c>
    </row>
    <row r="1527">
      <c r="A1527" s="111" t="s">
        <v>19</v>
      </c>
      <c r="B1527" s="111" t="s">
        <v>430</v>
      </c>
      <c r="C1527" s="117">
        <v>-0.17</v>
      </c>
      <c r="D1527" s="117">
        <v>0.49</v>
      </c>
      <c r="E1527" s="118">
        <v>4.8</v>
      </c>
    </row>
    <row r="1528">
      <c r="A1528" s="111" t="s">
        <v>19</v>
      </c>
      <c r="B1528" s="111" t="s">
        <v>431</v>
      </c>
      <c r="C1528" s="117">
        <v>-0.16</v>
      </c>
      <c r="D1528" s="117">
        <v>0.5</v>
      </c>
      <c r="E1528" s="118">
        <v>4.8</v>
      </c>
    </row>
    <row r="1529">
      <c r="A1529" s="111" t="s">
        <v>19</v>
      </c>
      <c r="B1529" s="111" t="s">
        <v>432</v>
      </c>
      <c r="C1529" s="117">
        <v>0.04</v>
      </c>
      <c r="D1529" s="117">
        <v>0.5</v>
      </c>
      <c r="E1529" s="118">
        <v>7.8</v>
      </c>
    </row>
    <row r="1530">
      <c r="A1530" s="111" t="s">
        <v>19</v>
      </c>
      <c r="B1530" s="111" t="s">
        <v>433</v>
      </c>
      <c r="C1530" s="117">
        <v>0.25</v>
      </c>
      <c r="D1530" s="117">
        <v>0.5</v>
      </c>
      <c r="E1530" s="118">
        <v>7.8</v>
      </c>
    </row>
    <row r="1531">
      <c r="A1531" s="111" t="s">
        <v>19</v>
      </c>
      <c r="B1531" s="111" t="s">
        <v>434</v>
      </c>
      <c r="C1531" s="117">
        <v>0.45</v>
      </c>
      <c r="D1531" s="117">
        <v>0.5</v>
      </c>
      <c r="E1531" s="118">
        <v>7.8</v>
      </c>
    </row>
    <row r="1532">
      <c r="A1532" s="111" t="s">
        <v>19</v>
      </c>
      <c r="B1532" s="111" t="s">
        <v>435</v>
      </c>
      <c r="C1532" s="117">
        <v>0.65</v>
      </c>
      <c r="D1532" s="117">
        <v>0.5</v>
      </c>
      <c r="E1532" s="118">
        <v>7.8</v>
      </c>
    </row>
    <row r="1533">
      <c r="A1533" s="111" t="s">
        <v>19</v>
      </c>
      <c r="B1533" s="111" t="s">
        <v>436</v>
      </c>
      <c r="C1533" s="117">
        <v>0.58</v>
      </c>
      <c r="D1533" s="117">
        <v>0.5</v>
      </c>
      <c r="E1533" s="111">
        <v>10.7</v>
      </c>
    </row>
    <row r="1534">
      <c r="A1534" s="111" t="s">
        <v>19</v>
      </c>
      <c r="B1534" s="111" t="s">
        <v>437</v>
      </c>
      <c r="C1534" s="117">
        <v>0.59</v>
      </c>
      <c r="D1534" s="117">
        <v>0.5</v>
      </c>
      <c r="E1534" s="111">
        <v>13.2</v>
      </c>
    </row>
    <row r="1535">
      <c r="A1535" s="111" t="s">
        <v>19</v>
      </c>
      <c r="B1535" s="111" t="s">
        <v>438</v>
      </c>
      <c r="C1535" s="117">
        <v>0.69</v>
      </c>
      <c r="D1535" s="117">
        <v>0.48</v>
      </c>
      <c r="E1535" s="111">
        <v>16.4</v>
      </c>
    </row>
    <row r="1536">
      <c r="A1536" s="111" t="s">
        <v>19</v>
      </c>
      <c r="B1536" s="111" t="s">
        <v>439</v>
      </c>
      <c r="C1536" s="117">
        <v>0.73</v>
      </c>
      <c r="D1536" s="117">
        <v>0.45</v>
      </c>
      <c r="E1536" s="111">
        <v>14.1</v>
      </c>
    </row>
    <row r="1537">
      <c r="A1537" s="111" t="s">
        <v>19</v>
      </c>
      <c r="B1537" s="111" t="s">
        <v>440</v>
      </c>
      <c r="C1537" s="117">
        <v>0.69</v>
      </c>
      <c r="D1537" s="117">
        <v>0.4</v>
      </c>
      <c r="E1537" s="111">
        <v>12.9</v>
      </c>
    </row>
    <row r="1538">
      <c r="A1538" s="111" t="s">
        <v>19</v>
      </c>
      <c r="B1538" s="111" t="s">
        <v>441</v>
      </c>
      <c r="C1538" s="117">
        <v>0.56</v>
      </c>
      <c r="D1538" s="117">
        <v>0.45</v>
      </c>
      <c r="E1538" s="111">
        <v>15.1</v>
      </c>
    </row>
    <row r="1539">
      <c r="A1539" s="111" t="s">
        <v>19</v>
      </c>
      <c r="B1539" s="111" t="s">
        <v>442</v>
      </c>
      <c r="C1539" s="117">
        <v>0.28</v>
      </c>
      <c r="D1539" s="117">
        <v>0.46</v>
      </c>
      <c r="E1539" s="111">
        <v>16.3</v>
      </c>
    </row>
    <row r="1540">
      <c r="A1540" s="111" t="s">
        <v>19</v>
      </c>
      <c r="B1540" s="111" t="s">
        <v>443</v>
      </c>
      <c r="C1540" s="117">
        <v>0.13</v>
      </c>
      <c r="D1540" s="117">
        <v>0.46</v>
      </c>
      <c r="E1540" s="111">
        <v>16.7</v>
      </c>
    </row>
    <row r="1541">
      <c r="A1541" s="111" t="s">
        <v>19</v>
      </c>
      <c r="B1541" s="111" t="s">
        <v>444</v>
      </c>
      <c r="C1541" s="117">
        <v>0.09</v>
      </c>
      <c r="D1541" s="117">
        <v>0.48</v>
      </c>
      <c r="E1541" s="111">
        <v>13.4</v>
      </c>
    </row>
    <row r="1542">
      <c r="A1542" s="111" t="s">
        <v>20</v>
      </c>
      <c r="B1542" s="111" t="s">
        <v>335</v>
      </c>
      <c r="C1542" s="113"/>
      <c r="D1542" s="113"/>
    </row>
    <row r="1543">
      <c r="A1543" s="111" t="s">
        <v>20</v>
      </c>
      <c r="B1543" s="111" t="s">
        <v>336</v>
      </c>
      <c r="C1543" s="113"/>
      <c r="D1543" s="113"/>
    </row>
    <row r="1544">
      <c r="A1544" s="111" t="s">
        <v>20</v>
      </c>
      <c r="B1544" s="111" t="s">
        <v>337</v>
      </c>
      <c r="C1544" s="113"/>
      <c r="D1544" s="113"/>
    </row>
    <row r="1545">
      <c r="A1545" s="111" t="s">
        <v>20</v>
      </c>
      <c r="B1545" s="111" t="s">
        <v>338</v>
      </c>
      <c r="C1545" s="113"/>
      <c r="D1545" s="113"/>
    </row>
    <row r="1546">
      <c r="A1546" s="111" t="s">
        <v>20</v>
      </c>
      <c r="B1546" s="111" t="s">
        <v>339</v>
      </c>
      <c r="C1546" s="113"/>
      <c r="D1546" s="113"/>
    </row>
    <row r="1547">
      <c r="A1547" s="111" t="s">
        <v>20</v>
      </c>
      <c r="B1547" s="111" t="s">
        <v>340</v>
      </c>
      <c r="C1547" s="113"/>
      <c r="D1547" s="113"/>
    </row>
    <row r="1548">
      <c r="A1548" s="111" t="s">
        <v>20</v>
      </c>
      <c r="B1548" s="111" t="s">
        <v>341</v>
      </c>
      <c r="C1548" s="113"/>
      <c r="D1548" s="113"/>
    </row>
    <row r="1549">
      <c r="A1549" s="111" t="s">
        <v>20</v>
      </c>
      <c r="B1549" s="111" t="s">
        <v>342</v>
      </c>
      <c r="C1549" s="113"/>
      <c r="D1549" s="113"/>
    </row>
    <row r="1550">
      <c r="A1550" s="111" t="s">
        <v>20</v>
      </c>
      <c r="B1550" s="111" t="s">
        <v>343</v>
      </c>
      <c r="C1550" s="113"/>
      <c r="D1550" s="113"/>
    </row>
    <row r="1551">
      <c r="A1551" s="111" t="s">
        <v>20</v>
      </c>
      <c r="B1551" s="111" t="s">
        <v>344</v>
      </c>
      <c r="C1551" s="113"/>
      <c r="D1551" s="113"/>
    </row>
    <row r="1552">
      <c r="A1552" s="111" t="s">
        <v>20</v>
      </c>
      <c r="B1552" s="111" t="s">
        <v>345</v>
      </c>
      <c r="C1552" s="113"/>
      <c r="D1552" s="113"/>
    </row>
    <row r="1553">
      <c r="A1553" s="111" t="s">
        <v>20</v>
      </c>
      <c r="B1553" s="111" t="s">
        <v>346</v>
      </c>
      <c r="C1553" s="113"/>
      <c r="D1553" s="113"/>
    </row>
    <row r="1554">
      <c r="A1554" s="111" t="s">
        <v>20</v>
      </c>
      <c r="B1554" s="111" t="s">
        <v>347</v>
      </c>
      <c r="C1554" s="113"/>
      <c r="D1554" s="113"/>
    </row>
    <row r="1555">
      <c r="A1555" s="111" t="s">
        <v>20</v>
      </c>
      <c r="B1555" s="111" t="s">
        <v>348</v>
      </c>
      <c r="C1555" s="113"/>
      <c r="D1555" s="113"/>
    </row>
    <row r="1556">
      <c r="A1556" s="111" t="s">
        <v>20</v>
      </c>
      <c r="B1556" s="111" t="s">
        <v>349</v>
      </c>
      <c r="C1556" s="113"/>
      <c r="D1556" s="113"/>
    </row>
    <row r="1557">
      <c r="A1557" s="111" t="s">
        <v>20</v>
      </c>
      <c r="B1557" s="111" t="s">
        <v>350</v>
      </c>
      <c r="C1557" s="113"/>
      <c r="D1557" s="113"/>
    </row>
    <row r="1558">
      <c r="A1558" s="111" t="s">
        <v>20</v>
      </c>
      <c r="B1558" s="111" t="s">
        <v>351</v>
      </c>
      <c r="C1558" s="113"/>
      <c r="D1558" s="113"/>
    </row>
    <row r="1559">
      <c r="A1559" s="111" t="s">
        <v>20</v>
      </c>
      <c r="B1559" s="111" t="s">
        <v>352</v>
      </c>
      <c r="C1559" s="113"/>
      <c r="D1559" s="113"/>
    </row>
    <row r="1560">
      <c r="A1560" s="111" t="s">
        <v>20</v>
      </c>
      <c r="B1560" s="111" t="s">
        <v>353</v>
      </c>
      <c r="C1560" s="113"/>
      <c r="D1560" s="113"/>
    </row>
    <row r="1561">
      <c r="A1561" s="111" t="s">
        <v>20</v>
      </c>
      <c r="B1561" s="111" t="s">
        <v>354</v>
      </c>
      <c r="C1561" s="113"/>
      <c r="D1561" s="113"/>
    </row>
    <row r="1562">
      <c r="A1562" s="111" t="s">
        <v>20</v>
      </c>
      <c r="B1562" s="111" t="s">
        <v>355</v>
      </c>
      <c r="C1562" s="113"/>
      <c r="D1562" s="113"/>
    </row>
    <row r="1563">
      <c r="A1563" s="111" t="s">
        <v>20</v>
      </c>
      <c r="B1563" s="111" t="s">
        <v>356</v>
      </c>
      <c r="C1563" s="113"/>
      <c r="D1563" s="113"/>
    </row>
    <row r="1564">
      <c r="A1564" s="111" t="s">
        <v>20</v>
      </c>
      <c r="B1564" s="111" t="s">
        <v>357</v>
      </c>
      <c r="C1564" s="113"/>
      <c r="D1564" s="113"/>
    </row>
    <row r="1565">
      <c r="A1565" s="111" t="s">
        <v>20</v>
      </c>
      <c r="B1565" s="111" t="s">
        <v>358</v>
      </c>
      <c r="C1565" s="113"/>
      <c r="D1565" s="113"/>
    </row>
    <row r="1566">
      <c r="A1566" s="111" t="s">
        <v>20</v>
      </c>
      <c r="B1566" s="111" t="s">
        <v>359</v>
      </c>
      <c r="C1566" s="113"/>
      <c r="D1566" s="113"/>
    </row>
    <row r="1567">
      <c r="A1567" s="111" t="s">
        <v>20</v>
      </c>
      <c r="B1567" s="111" t="s">
        <v>360</v>
      </c>
      <c r="C1567" s="113"/>
      <c r="D1567" s="113"/>
    </row>
    <row r="1568">
      <c r="A1568" s="111" t="s">
        <v>20</v>
      </c>
      <c r="B1568" s="111" t="s">
        <v>361</v>
      </c>
      <c r="C1568" s="113"/>
      <c r="D1568" s="113"/>
    </row>
    <row r="1569">
      <c r="A1569" s="111" t="s">
        <v>20</v>
      </c>
      <c r="B1569" s="111" t="s">
        <v>362</v>
      </c>
      <c r="C1569" s="113"/>
      <c r="D1569" s="113"/>
    </row>
    <row r="1570">
      <c r="A1570" s="111" t="s">
        <v>20</v>
      </c>
      <c r="B1570" s="111" t="s">
        <v>363</v>
      </c>
      <c r="C1570" s="113"/>
      <c r="D1570" s="113"/>
    </row>
    <row r="1571">
      <c r="A1571" s="111" t="s">
        <v>20</v>
      </c>
      <c r="B1571" s="111" t="s">
        <v>364</v>
      </c>
      <c r="C1571" s="113"/>
      <c r="D1571" s="113"/>
    </row>
    <row r="1572">
      <c r="A1572" s="111" t="s">
        <v>20</v>
      </c>
      <c r="B1572" s="111" t="s">
        <v>365</v>
      </c>
      <c r="C1572" s="113"/>
      <c r="D1572" s="113"/>
    </row>
    <row r="1573">
      <c r="A1573" s="111" t="s">
        <v>20</v>
      </c>
      <c r="B1573" s="111" t="s">
        <v>366</v>
      </c>
      <c r="C1573" s="113"/>
      <c r="D1573" s="113"/>
    </row>
    <row r="1574">
      <c r="A1574" s="111" t="s">
        <v>20</v>
      </c>
      <c r="B1574" s="111" t="s">
        <v>367</v>
      </c>
      <c r="C1574" s="113"/>
      <c r="D1574" s="113"/>
    </row>
    <row r="1575">
      <c r="A1575" s="111" t="s">
        <v>20</v>
      </c>
      <c r="B1575" s="111" t="s">
        <v>368</v>
      </c>
      <c r="C1575" s="113"/>
      <c r="D1575" s="113"/>
    </row>
    <row r="1576">
      <c r="A1576" s="111" t="s">
        <v>20</v>
      </c>
      <c r="B1576" s="111" t="s">
        <v>369</v>
      </c>
      <c r="C1576" s="113"/>
      <c r="D1576" s="113"/>
    </row>
    <row r="1577">
      <c r="A1577" s="111" t="s">
        <v>20</v>
      </c>
      <c r="B1577" s="111" t="s">
        <v>370</v>
      </c>
      <c r="C1577" s="113"/>
      <c r="D1577" s="113"/>
    </row>
    <row r="1578">
      <c r="A1578" s="111" t="s">
        <v>20</v>
      </c>
      <c r="B1578" s="111" t="s">
        <v>371</v>
      </c>
      <c r="C1578" s="113"/>
      <c r="D1578" s="113"/>
    </row>
    <row r="1579">
      <c r="A1579" s="111" t="s">
        <v>20</v>
      </c>
      <c r="B1579" s="111" t="s">
        <v>372</v>
      </c>
      <c r="C1579" s="113"/>
      <c r="D1579" s="113"/>
    </row>
    <row r="1580">
      <c r="A1580" s="111" t="s">
        <v>20</v>
      </c>
      <c r="B1580" s="111" t="s">
        <v>373</v>
      </c>
      <c r="C1580" s="113"/>
      <c r="D1580" s="113"/>
    </row>
    <row r="1581">
      <c r="A1581" s="111" t="s">
        <v>20</v>
      </c>
      <c r="B1581" s="111" t="s">
        <v>374</v>
      </c>
      <c r="C1581" s="113"/>
      <c r="D1581" s="113"/>
    </row>
    <row r="1582">
      <c r="A1582" s="111" t="s">
        <v>20</v>
      </c>
      <c r="B1582" s="111" t="s">
        <v>375</v>
      </c>
      <c r="C1582" s="113"/>
      <c r="D1582" s="113"/>
    </row>
    <row r="1583">
      <c r="A1583" s="111" t="s">
        <v>20</v>
      </c>
      <c r="B1583" s="111" t="s">
        <v>376</v>
      </c>
      <c r="C1583" s="113"/>
      <c r="D1583" s="113"/>
    </row>
    <row r="1584">
      <c r="A1584" s="111" t="s">
        <v>20</v>
      </c>
      <c r="B1584" s="111" t="s">
        <v>377</v>
      </c>
      <c r="C1584" s="113"/>
      <c r="D1584" s="113"/>
    </row>
    <row r="1585">
      <c r="A1585" s="111" t="s">
        <v>20</v>
      </c>
      <c r="B1585" s="111" t="s">
        <v>378</v>
      </c>
      <c r="C1585" s="113"/>
      <c r="D1585" s="113"/>
    </row>
    <row r="1586">
      <c r="A1586" s="111" t="s">
        <v>20</v>
      </c>
      <c r="B1586" s="111" t="s">
        <v>379</v>
      </c>
      <c r="C1586" s="113"/>
      <c r="D1586" s="113"/>
    </row>
    <row r="1587">
      <c r="A1587" s="111" t="s">
        <v>20</v>
      </c>
      <c r="B1587" s="111" t="s">
        <v>380</v>
      </c>
      <c r="C1587" s="113"/>
      <c r="D1587" s="113"/>
    </row>
    <row r="1588">
      <c r="A1588" s="111" t="s">
        <v>20</v>
      </c>
      <c r="B1588" s="111" t="s">
        <v>381</v>
      </c>
      <c r="C1588" s="113"/>
      <c r="D1588" s="113"/>
    </row>
    <row r="1589">
      <c r="A1589" s="111" t="s">
        <v>20</v>
      </c>
      <c r="B1589" s="111" t="s">
        <v>382</v>
      </c>
      <c r="C1589" s="113"/>
      <c r="D1589" s="113"/>
    </row>
    <row r="1590">
      <c r="A1590" s="111" t="s">
        <v>20</v>
      </c>
      <c r="B1590" s="111" t="s">
        <v>383</v>
      </c>
      <c r="C1590" s="113"/>
      <c r="D1590" s="113"/>
    </row>
    <row r="1591">
      <c r="A1591" s="111" t="s">
        <v>20</v>
      </c>
      <c r="B1591" s="111" t="s">
        <v>384</v>
      </c>
      <c r="C1591" s="113"/>
      <c r="D1591" s="113"/>
    </row>
    <row r="1592">
      <c r="A1592" s="111" t="s">
        <v>20</v>
      </c>
      <c r="B1592" s="111" t="s">
        <v>385</v>
      </c>
      <c r="C1592" s="113"/>
      <c r="D1592" s="113"/>
    </row>
    <row r="1593">
      <c r="A1593" s="111" t="s">
        <v>20</v>
      </c>
      <c r="B1593" s="111" t="s">
        <v>386</v>
      </c>
      <c r="C1593" s="113"/>
      <c r="D1593" s="113"/>
    </row>
    <row r="1594">
      <c r="A1594" s="111" t="s">
        <v>20</v>
      </c>
      <c r="B1594" s="111" t="s">
        <v>387</v>
      </c>
      <c r="C1594" s="113"/>
      <c r="D1594" s="113"/>
    </row>
    <row r="1595">
      <c r="A1595" s="111" t="s">
        <v>20</v>
      </c>
      <c r="B1595" s="111" t="s">
        <v>388</v>
      </c>
      <c r="C1595" s="113"/>
      <c r="D1595" s="113"/>
    </row>
    <row r="1596">
      <c r="A1596" s="111" t="s">
        <v>20</v>
      </c>
      <c r="B1596" s="111" t="s">
        <v>389</v>
      </c>
      <c r="C1596" s="113"/>
      <c r="D1596" s="113"/>
    </row>
    <row r="1597">
      <c r="A1597" s="111" t="s">
        <v>20</v>
      </c>
      <c r="B1597" s="111" t="s">
        <v>390</v>
      </c>
      <c r="C1597" s="113"/>
      <c r="D1597" s="113"/>
    </row>
    <row r="1598">
      <c r="A1598" s="111" t="s">
        <v>20</v>
      </c>
      <c r="B1598" s="111" t="s">
        <v>391</v>
      </c>
      <c r="C1598" s="113"/>
      <c r="D1598" s="113"/>
    </row>
    <row r="1599">
      <c r="A1599" s="111" t="s">
        <v>20</v>
      </c>
      <c r="B1599" s="111" t="s">
        <v>392</v>
      </c>
      <c r="C1599" s="113"/>
      <c r="D1599" s="113"/>
    </row>
    <row r="1600">
      <c r="A1600" s="111" t="s">
        <v>20</v>
      </c>
      <c r="B1600" s="111" t="s">
        <v>393</v>
      </c>
      <c r="C1600" s="113"/>
      <c r="D1600" s="113"/>
    </row>
    <row r="1601">
      <c r="A1601" s="111" t="s">
        <v>20</v>
      </c>
      <c r="B1601" s="111" t="s">
        <v>394</v>
      </c>
      <c r="C1601" s="113"/>
      <c r="D1601" s="113"/>
    </row>
    <row r="1602">
      <c r="A1602" s="111" t="s">
        <v>20</v>
      </c>
      <c r="B1602" s="111" t="s">
        <v>395</v>
      </c>
      <c r="C1602" s="113"/>
      <c r="D1602" s="113"/>
    </row>
    <row r="1603">
      <c r="A1603" s="111" t="s">
        <v>20</v>
      </c>
      <c r="B1603" s="111" t="s">
        <v>396</v>
      </c>
      <c r="C1603" s="113"/>
      <c r="D1603" s="113"/>
    </row>
    <row r="1604">
      <c r="A1604" s="111" t="s">
        <v>20</v>
      </c>
      <c r="B1604" s="111" t="s">
        <v>397</v>
      </c>
      <c r="C1604" s="113"/>
      <c r="D1604" s="113"/>
    </row>
    <row r="1605">
      <c r="A1605" s="111" t="s">
        <v>20</v>
      </c>
      <c r="B1605" s="111" t="s">
        <v>398</v>
      </c>
      <c r="C1605" s="113"/>
      <c r="D1605" s="113"/>
    </row>
    <row r="1606">
      <c r="A1606" s="111" t="s">
        <v>20</v>
      </c>
      <c r="B1606" s="111" t="s">
        <v>399</v>
      </c>
      <c r="C1606" s="113"/>
      <c r="D1606" s="113"/>
    </row>
    <row r="1607">
      <c r="A1607" s="111" t="s">
        <v>20</v>
      </c>
      <c r="B1607" s="111" t="s">
        <v>400</v>
      </c>
      <c r="C1607" s="113"/>
      <c r="D1607" s="113"/>
    </row>
    <row r="1608">
      <c r="A1608" s="111" t="s">
        <v>20</v>
      </c>
      <c r="B1608" s="111" t="s">
        <v>401</v>
      </c>
      <c r="C1608" s="113"/>
      <c r="D1608" s="113"/>
    </row>
    <row r="1609">
      <c r="A1609" s="111" t="s">
        <v>20</v>
      </c>
      <c r="B1609" s="111" t="s">
        <v>402</v>
      </c>
      <c r="C1609" s="113"/>
      <c r="D1609" s="113"/>
    </row>
    <row r="1610">
      <c r="A1610" s="111" t="s">
        <v>20</v>
      </c>
      <c r="B1610" s="111" t="s">
        <v>403</v>
      </c>
      <c r="C1610" s="113"/>
      <c r="D1610" s="113"/>
    </row>
    <row r="1611">
      <c r="A1611" s="111" t="s">
        <v>20</v>
      </c>
      <c r="B1611" s="111" t="s">
        <v>404</v>
      </c>
      <c r="C1611" s="113"/>
      <c r="D1611" s="113"/>
    </row>
    <row r="1612">
      <c r="A1612" s="111" t="s">
        <v>20</v>
      </c>
      <c r="B1612" s="111" t="s">
        <v>405</v>
      </c>
      <c r="C1612" s="113"/>
      <c r="D1612" s="113"/>
    </row>
    <row r="1613">
      <c r="A1613" s="111" t="s">
        <v>20</v>
      </c>
      <c r="B1613" s="111" t="s">
        <v>406</v>
      </c>
      <c r="C1613" s="113"/>
      <c r="D1613" s="113"/>
    </row>
    <row r="1614">
      <c r="A1614" s="111" t="s">
        <v>20</v>
      </c>
      <c r="B1614" s="111" t="s">
        <v>407</v>
      </c>
      <c r="C1614" s="113"/>
      <c r="D1614" s="113"/>
    </row>
    <row r="1615">
      <c r="A1615" s="111" t="s">
        <v>20</v>
      </c>
      <c r="B1615" s="111" t="s">
        <v>408</v>
      </c>
      <c r="C1615" s="113"/>
      <c r="D1615" s="113"/>
    </row>
    <row r="1616">
      <c r="A1616" s="111" t="s">
        <v>20</v>
      </c>
      <c r="B1616" s="111" t="s">
        <v>409</v>
      </c>
      <c r="C1616" s="113"/>
      <c r="D1616" s="113"/>
    </row>
    <row r="1617">
      <c r="A1617" s="111" t="s">
        <v>20</v>
      </c>
      <c r="B1617" s="111" t="s">
        <v>410</v>
      </c>
      <c r="C1617" s="113"/>
      <c r="D1617" s="113"/>
    </row>
    <row r="1618">
      <c r="A1618" s="111" t="s">
        <v>20</v>
      </c>
      <c r="B1618" s="111" t="s">
        <v>411</v>
      </c>
      <c r="C1618" s="113"/>
      <c r="D1618" s="113"/>
    </row>
    <row r="1619">
      <c r="A1619" s="111" t="s">
        <v>20</v>
      </c>
      <c r="B1619" s="111" t="s">
        <v>412</v>
      </c>
      <c r="C1619" s="113"/>
      <c r="D1619" s="113"/>
    </row>
    <row r="1620">
      <c r="A1620" s="111" t="s">
        <v>20</v>
      </c>
      <c r="B1620" s="111" t="s">
        <v>413</v>
      </c>
      <c r="C1620" s="113"/>
      <c r="D1620" s="113"/>
    </row>
    <row r="1621">
      <c r="A1621" s="111" t="s">
        <v>20</v>
      </c>
      <c r="B1621" s="111" t="s">
        <v>414</v>
      </c>
      <c r="C1621" s="113"/>
      <c r="D1621" s="113"/>
    </row>
    <row r="1622">
      <c r="A1622" s="111" t="s">
        <v>20</v>
      </c>
      <c r="B1622" s="111" t="s">
        <v>415</v>
      </c>
      <c r="C1622" s="113"/>
      <c r="D1622" s="113"/>
    </row>
    <row r="1623">
      <c r="A1623" s="111" t="s">
        <v>20</v>
      </c>
      <c r="B1623" s="111" t="s">
        <v>416</v>
      </c>
      <c r="C1623" s="113"/>
      <c r="D1623" s="113"/>
    </row>
    <row r="1624">
      <c r="A1624" s="111" t="s">
        <v>20</v>
      </c>
      <c r="B1624" s="111" t="s">
        <v>417</v>
      </c>
      <c r="C1624" s="113"/>
      <c r="D1624" s="113"/>
    </row>
    <row r="1625">
      <c r="A1625" s="111" t="s">
        <v>20</v>
      </c>
      <c r="B1625" s="111" t="s">
        <v>418</v>
      </c>
      <c r="C1625" s="113"/>
      <c r="D1625" s="113"/>
    </row>
    <row r="1626">
      <c r="A1626" s="111" t="s">
        <v>20</v>
      </c>
      <c r="B1626" s="111" t="s">
        <v>419</v>
      </c>
      <c r="C1626" s="113"/>
      <c r="D1626" s="113"/>
    </row>
    <row r="1627">
      <c r="A1627" s="111" t="s">
        <v>20</v>
      </c>
      <c r="B1627" s="111" t="s">
        <v>420</v>
      </c>
      <c r="C1627" s="113"/>
      <c r="D1627" s="113"/>
    </row>
    <row r="1628">
      <c r="A1628" s="111" t="s">
        <v>20</v>
      </c>
      <c r="B1628" s="111" t="s">
        <v>421</v>
      </c>
      <c r="C1628" s="113"/>
      <c r="D1628" s="113"/>
    </row>
    <row r="1629">
      <c r="A1629" s="111" t="s">
        <v>20</v>
      </c>
      <c r="B1629" s="111" t="s">
        <v>422</v>
      </c>
      <c r="C1629" s="113"/>
      <c r="D1629" s="113"/>
    </row>
    <row r="1630">
      <c r="A1630" s="111" t="s">
        <v>20</v>
      </c>
      <c r="B1630" s="111" t="s">
        <v>423</v>
      </c>
      <c r="C1630" s="113"/>
      <c r="D1630" s="113"/>
    </row>
    <row r="1631">
      <c r="A1631" s="111" t="s">
        <v>20</v>
      </c>
      <c r="B1631" s="111" t="s">
        <v>424</v>
      </c>
      <c r="C1631" s="113"/>
      <c r="D1631" s="117"/>
    </row>
    <row r="1632">
      <c r="A1632" s="111" t="s">
        <v>20</v>
      </c>
      <c r="B1632" s="111" t="s">
        <v>425</v>
      </c>
      <c r="C1632" s="113"/>
      <c r="D1632" s="117"/>
    </row>
    <row r="1633">
      <c r="A1633" s="111" t="s">
        <v>20</v>
      </c>
      <c r="B1633" s="111" t="s">
        <v>426</v>
      </c>
      <c r="C1633" s="113"/>
      <c r="D1633" s="117"/>
    </row>
    <row r="1634">
      <c r="A1634" s="111" t="s">
        <v>20</v>
      </c>
      <c r="B1634" s="111" t="s">
        <v>427</v>
      </c>
      <c r="C1634" s="117">
        <v>-0.3</v>
      </c>
      <c r="D1634" s="117">
        <v>-0.11</v>
      </c>
      <c r="E1634" s="111">
        <v>-85.0</v>
      </c>
    </row>
    <row r="1635">
      <c r="A1635" s="111" t="s">
        <v>20</v>
      </c>
      <c r="B1635" s="111" t="s">
        <v>428</v>
      </c>
      <c r="C1635" s="117">
        <v>-0.3</v>
      </c>
      <c r="D1635" s="117">
        <v>-0.17</v>
      </c>
      <c r="E1635" s="111">
        <v>2.5</v>
      </c>
    </row>
    <row r="1636">
      <c r="A1636" s="111" t="s">
        <v>20</v>
      </c>
      <c r="B1636" s="111" t="s">
        <v>429</v>
      </c>
      <c r="C1636" s="117">
        <v>-0.3</v>
      </c>
      <c r="D1636" s="117">
        <v>-0.4</v>
      </c>
      <c r="E1636" s="111">
        <v>3.6</v>
      </c>
    </row>
    <row r="1637">
      <c r="A1637" s="111" t="s">
        <v>20</v>
      </c>
      <c r="B1637" s="111" t="s">
        <v>430</v>
      </c>
      <c r="C1637" s="117">
        <v>-0.3</v>
      </c>
      <c r="D1637" s="117">
        <v>-0.5</v>
      </c>
      <c r="E1637" s="111">
        <v>4.2</v>
      </c>
    </row>
    <row r="1638">
      <c r="A1638" s="111" t="s">
        <v>20</v>
      </c>
      <c r="B1638" s="111" t="s">
        <v>431</v>
      </c>
      <c r="C1638" s="117">
        <v>-0.3</v>
      </c>
      <c r="D1638" s="117">
        <v>-0.5</v>
      </c>
      <c r="E1638" s="111">
        <v>6.9</v>
      </c>
    </row>
    <row r="1639">
      <c r="A1639" s="111" t="s">
        <v>20</v>
      </c>
      <c r="B1639" s="111" t="s">
        <v>432</v>
      </c>
      <c r="C1639" s="117">
        <v>-0.3</v>
      </c>
      <c r="D1639" s="117">
        <v>-0.5</v>
      </c>
      <c r="E1639" s="111">
        <v>4.1</v>
      </c>
    </row>
    <row r="1640">
      <c r="A1640" s="111" t="s">
        <v>20</v>
      </c>
      <c r="B1640" s="111" t="s">
        <v>433</v>
      </c>
      <c r="C1640" s="117">
        <v>-0.15</v>
      </c>
      <c r="D1640" s="117">
        <v>-0.5</v>
      </c>
      <c r="E1640" s="111">
        <v>6.1</v>
      </c>
    </row>
    <row r="1641">
      <c r="A1641" s="111" t="s">
        <v>20</v>
      </c>
      <c r="B1641" s="111" t="s">
        <v>434</v>
      </c>
      <c r="C1641" s="117">
        <v>0.31</v>
      </c>
      <c r="D1641" s="117">
        <v>-0.45</v>
      </c>
      <c r="E1641" s="111">
        <v>8.4</v>
      </c>
    </row>
    <row r="1642">
      <c r="A1642" s="111" t="s">
        <v>20</v>
      </c>
      <c r="B1642" s="111" t="s">
        <v>435</v>
      </c>
      <c r="C1642" s="117">
        <v>0.62</v>
      </c>
      <c r="D1642" s="117">
        <v>-0.24</v>
      </c>
      <c r="E1642" s="111">
        <v>8.0</v>
      </c>
    </row>
    <row r="1643">
      <c r="A1643" s="111" t="s">
        <v>20</v>
      </c>
      <c r="B1643" s="111" t="s">
        <v>436</v>
      </c>
      <c r="C1643" s="117">
        <v>0.9</v>
      </c>
      <c r="D1643" s="117">
        <v>-0.18</v>
      </c>
      <c r="E1643" s="111">
        <v>11.4</v>
      </c>
    </row>
    <row r="1644">
      <c r="A1644" s="111" t="s">
        <v>20</v>
      </c>
      <c r="B1644" s="111" t="s">
        <v>437</v>
      </c>
      <c r="C1644" s="117">
        <v>0.89</v>
      </c>
      <c r="D1644" s="117">
        <v>-0.12</v>
      </c>
      <c r="E1644" s="111">
        <v>10.2</v>
      </c>
    </row>
    <row r="1645">
      <c r="A1645" s="111" t="s">
        <v>20</v>
      </c>
      <c r="B1645" s="111" t="s">
        <v>438</v>
      </c>
      <c r="C1645" s="117">
        <v>0.72</v>
      </c>
      <c r="D1645" s="117">
        <v>-0.12</v>
      </c>
      <c r="E1645" s="111">
        <v>10.9</v>
      </c>
    </row>
    <row r="1646">
      <c r="A1646" s="111" t="s">
        <v>20</v>
      </c>
      <c r="B1646" s="111" t="s">
        <v>439</v>
      </c>
      <c r="C1646" s="117">
        <v>0.89</v>
      </c>
      <c r="D1646" s="117">
        <v>-0.07</v>
      </c>
      <c r="E1646" s="111">
        <v>14.5</v>
      </c>
    </row>
    <row r="1647">
      <c r="A1647" s="111" t="s">
        <v>20</v>
      </c>
      <c r="B1647" s="111" t="s">
        <v>440</v>
      </c>
      <c r="C1647" s="117">
        <v>0.5</v>
      </c>
      <c r="D1647" s="117">
        <v>-0.07</v>
      </c>
      <c r="E1647" s="111">
        <v>13.5</v>
      </c>
    </row>
    <row r="1648">
      <c r="A1648" s="111" t="s">
        <v>20</v>
      </c>
      <c r="B1648" s="111" t="s">
        <v>441</v>
      </c>
      <c r="C1648" s="117">
        <v>0.35</v>
      </c>
      <c r="D1648" s="117">
        <v>-0.12</v>
      </c>
      <c r="E1648" s="111">
        <v>11.4</v>
      </c>
    </row>
    <row r="1649">
      <c r="A1649" s="111" t="s">
        <v>20</v>
      </c>
      <c r="B1649" s="111" t="s">
        <v>442</v>
      </c>
      <c r="C1649" s="117">
        <v>0.34</v>
      </c>
      <c r="D1649" s="117">
        <v>-0.07</v>
      </c>
      <c r="E1649" s="111">
        <v>13.4</v>
      </c>
    </row>
    <row r="1650">
      <c r="A1650" s="111" t="s">
        <v>20</v>
      </c>
      <c r="B1650" s="111" t="s">
        <v>443</v>
      </c>
      <c r="C1650" s="117">
        <v>0.1</v>
      </c>
      <c r="D1650" s="117">
        <v>-0.08</v>
      </c>
      <c r="E1650" s="111">
        <v>12.9</v>
      </c>
    </row>
    <row r="1651">
      <c r="A1651" s="111" t="s">
        <v>20</v>
      </c>
      <c r="B1651" s="111" t="s">
        <v>444</v>
      </c>
      <c r="C1651" s="117">
        <v>0.04</v>
      </c>
      <c r="D1651" s="117">
        <v>-0.07</v>
      </c>
      <c r="E1651" s="111">
        <v>12.6</v>
      </c>
    </row>
    <row r="1652">
      <c r="A1652" s="111"/>
      <c r="B1652" s="111"/>
      <c r="C1652" s="113"/>
      <c r="D1652" s="113"/>
    </row>
    <row r="1653">
      <c r="A1653" s="111"/>
      <c r="B1653" s="111"/>
      <c r="C1653" s="113"/>
      <c r="D1653" s="113"/>
    </row>
    <row r="1654">
      <c r="A1654" s="111"/>
      <c r="B1654" s="111"/>
      <c r="C1654" s="113"/>
      <c r="D1654" s="113"/>
    </row>
    <row r="1655">
      <c r="A1655" s="111"/>
      <c r="B1655" s="111"/>
      <c r="C1655" s="113"/>
      <c r="D1655" s="113"/>
    </row>
    <row r="1656">
      <c r="A1656" s="111"/>
      <c r="B1656" s="111"/>
      <c r="C1656" s="113"/>
      <c r="D1656" s="113"/>
    </row>
    <row r="1657">
      <c r="A1657" s="111"/>
      <c r="B1657" s="111"/>
      <c r="C1657" s="113"/>
      <c r="D1657" s="113"/>
    </row>
    <row r="1658">
      <c r="A1658" s="111"/>
      <c r="B1658" s="111"/>
      <c r="C1658" s="113"/>
      <c r="D1658" s="113"/>
    </row>
    <row r="1659">
      <c r="A1659" s="111"/>
      <c r="B1659" s="111"/>
      <c r="C1659" s="113"/>
      <c r="D1659" s="113"/>
    </row>
    <row r="1660">
      <c r="A1660" s="111"/>
      <c r="B1660" s="111"/>
      <c r="C1660" s="113"/>
      <c r="D1660" s="113"/>
    </row>
    <row r="1661">
      <c r="A1661" s="111"/>
      <c r="B1661" s="111"/>
      <c r="C1661" s="113"/>
      <c r="D1661" s="113"/>
    </row>
    <row r="1662">
      <c r="A1662" s="111"/>
      <c r="B1662" s="111"/>
      <c r="C1662" s="113"/>
      <c r="D1662" s="113"/>
    </row>
    <row r="1663">
      <c r="A1663" s="111"/>
      <c r="B1663" s="111"/>
      <c r="C1663" s="113"/>
      <c r="D1663" s="113"/>
    </row>
    <row r="1664">
      <c r="A1664" s="111"/>
      <c r="B1664" s="111"/>
      <c r="C1664" s="113"/>
      <c r="D1664" s="113"/>
    </row>
    <row r="1665">
      <c r="A1665" s="111"/>
      <c r="B1665" s="111"/>
      <c r="C1665" s="113"/>
      <c r="D1665" s="113"/>
    </row>
    <row r="1666">
      <c r="A1666" s="111"/>
      <c r="B1666" s="111"/>
      <c r="C1666" s="113"/>
      <c r="D1666" s="113"/>
    </row>
    <row r="1667">
      <c r="A1667" s="111"/>
      <c r="B1667" s="111"/>
      <c r="C1667" s="113"/>
      <c r="D1667" s="113"/>
    </row>
    <row r="1668">
      <c r="A1668" s="111"/>
      <c r="B1668" s="111"/>
      <c r="C1668" s="113"/>
      <c r="D1668" s="113"/>
    </row>
    <row r="1669">
      <c r="A1669" s="111"/>
      <c r="B1669" s="111"/>
      <c r="C1669" s="113"/>
      <c r="D1669" s="113"/>
    </row>
    <row r="1670">
      <c r="A1670" s="111"/>
      <c r="B1670" s="111"/>
      <c r="C1670" s="113"/>
      <c r="D1670" s="113"/>
    </row>
    <row r="1671">
      <c r="A1671" s="111"/>
      <c r="B1671" s="111"/>
      <c r="C1671" s="113"/>
      <c r="D1671" s="113"/>
    </row>
    <row r="1672">
      <c r="A1672" s="111"/>
      <c r="B1672" s="111"/>
      <c r="C1672" s="113"/>
      <c r="D1672" s="113"/>
    </row>
    <row r="1673">
      <c r="A1673" s="111"/>
      <c r="B1673" s="111"/>
      <c r="C1673" s="113"/>
      <c r="D1673" s="113"/>
    </row>
    <row r="1674">
      <c r="A1674" s="111"/>
      <c r="B1674" s="111"/>
      <c r="C1674" s="113"/>
      <c r="D1674" s="113"/>
    </row>
    <row r="1675">
      <c r="A1675" s="111"/>
      <c r="B1675" s="111"/>
      <c r="C1675" s="113"/>
      <c r="D1675" s="113"/>
    </row>
    <row r="1676">
      <c r="A1676" s="111"/>
      <c r="B1676" s="111"/>
      <c r="C1676" s="113"/>
      <c r="D1676" s="113"/>
    </row>
    <row r="1677">
      <c r="A1677" s="111"/>
      <c r="B1677" s="111"/>
      <c r="C1677" s="113"/>
      <c r="D1677" s="113"/>
    </row>
    <row r="1678">
      <c r="A1678" s="111"/>
      <c r="B1678" s="111"/>
      <c r="C1678" s="113"/>
      <c r="D1678" s="113"/>
    </row>
    <row r="1679">
      <c r="A1679" s="111"/>
      <c r="B1679" s="111"/>
      <c r="C1679" s="113"/>
      <c r="D1679" s="113"/>
    </row>
    <row r="1680">
      <c r="A1680" s="111"/>
      <c r="B1680" s="111"/>
      <c r="C1680" s="113"/>
      <c r="D1680" s="113"/>
    </row>
    <row r="1681">
      <c r="A1681" s="111"/>
      <c r="B1681" s="111"/>
      <c r="C1681" s="113"/>
      <c r="D1681" s="113"/>
    </row>
    <row r="1682">
      <c r="A1682" s="111"/>
      <c r="B1682" s="111"/>
      <c r="C1682" s="113"/>
      <c r="D1682" s="113"/>
    </row>
    <row r="1683">
      <c r="A1683" s="111"/>
      <c r="B1683" s="111"/>
      <c r="C1683" s="113"/>
      <c r="D1683" s="113"/>
    </row>
    <row r="1684">
      <c r="A1684" s="111"/>
      <c r="B1684" s="111"/>
      <c r="C1684" s="113"/>
      <c r="D1684" s="113"/>
    </row>
    <row r="1685">
      <c r="A1685" s="111"/>
      <c r="B1685" s="111"/>
      <c r="C1685" s="113"/>
      <c r="D1685" s="113"/>
    </row>
    <row r="1686">
      <c r="A1686" s="111"/>
      <c r="B1686" s="111"/>
      <c r="C1686" s="113"/>
      <c r="D1686" s="113"/>
    </row>
    <row r="1687">
      <c r="A1687" s="111"/>
      <c r="B1687" s="111"/>
      <c r="C1687" s="113"/>
      <c r="D1687" s="113"/>
    </row>
    <row r="1688">
      <c r="A1688" s="111"/>
      <c r="B1688" s="111"/>
      <c r="C1688" s="113"/>
      <c r="D1688" s="113"/>
    </row>
    <row r="1689">
      <c r="A1689" s="111"/>
      <c r="B1689" s="111"/>
      <c r="C1689" s="113"/>
      <c r="D1689" s="113"/>
    </row>
    <row r="1690">
      <c r="A1690" s="111"/>
      <c r="B1690" s="111"/>
      <c r="C1690" s="113"/>
      <c r="D1690" s="113"/>
    </row>
    <row r="1691">
      <c r="A1691" s="111"/>
      <c r="B1691" s="111"/>
      <c r="C1691" s="113"/>
      <c r="D1691" s="113"/>
    </row>
    <row r="1692">
      <c r="A1692" s="111"/>
      <c r="B1692" s="111"/>
      <c r="C1692" s="113"/>
      <c r="D1692" s="113"/>
    </row>
    <row r="1693">
      <c r="A1693" s="111"/>
      <c r="B1693" s="111"/>
      <c r="C1693" s="113"/>
      <c r="D1693" s="113"/>
    </row>
    <row r="1694">
      <c r="A1694" s="111"/>
      <c r="B1694" s="111"/>
      <c r="C1694" s="113"/>
      <c r="D1694" s="113"/>
    </row>
    <row r="1695">
      <c r="A1695" s="111"/>
      <c r="B1695" s="111"/>
      <c r="C1695" s="113"/>
      <c r="D1695" s="113"/>
    </row>
    <row r="1696">
      <c r="A1696" s="111"/>
      <c r="B1696" s="111"/>
      <c r="C1696" s="113"/>
      <c r="D1696" s="113"/>
    </row>
    <row r="1697">
      <c r="A1697" s="111"/>
      <c r="B1697" s="111"/>
      <c r="C1697" s="113"/>
      <c r="D1697" s="113"/>
    </row>
    <row r="1698">
      <c r="A1698" s="111"/>
      <c r="B1698" s="111"/>
      <c r="C1698" s="113"/>
      <c r="D1698" s="113"/>
    </row>
    <row r="1699">
      <c r="A1699" s="111"/>
      <c r="B1699" s="111"/>
      <c r="C1699" s="113"/>
      <c r="D1699" s="113"/>
    </row>
    <row r="1700">
      <c r="A1700" s="111"/>
      <c r="B1700" s="111"/>
      <c r="C1700" s="113"/>
      <c r="D1700" s="113"/>
    </row>
    <row r="1701">
      <c r="A1701" s="111"/>
      <c r="B1701" s="111"/>
      <c r="C1701" s="113"/>
      <c r="D1701" s="113"/>
    </row>
    <row r="1702">
      <c r="A1702" s="111"/>
      <c r="B1702" s="111"/>
      <c r="C1702" s="113"/>
      <c r="D1702" s="113"/>
    </row>
    <row r="1703">
      <c r="A1703" s="111"/>
      <c r="B1703" s="111"/>
      <c r="C1703" s="113"/>
      <c r="D1703" s="113"/>
    </row>
    <row r="1704">
      <c r="A1704" s="111"/>
      <c r="B1704" s="111"/>
      <c r="C1704" s="113"/>
      <c r="D1704" s="113"/>
    </row>
    <row r="1705">
      <c r="A1705" s="111"/>
      <c r="B1705" s="111"/>
      <c r="C1705" s="113"/>
      <c r="D1705" s="113"/>
    </row>
    <row r="1706">
      <c r="A1706" s="111"/>
      <c r="B1706" s="111"/>
      <c r="C1706" s="113"/>
      <c r="D1706" s="113"/>
    </row>
    <row r="1707">
      <c r="A1707" s="111"/>
      <c r="B1707" s="111"/>
      <c r="C1707" s="113"/>
      <c r="D1707" s="113"/>
    </row>
    <row r="1708">
      <c r="A1708" s="111"/>
      <c r="B1708" s="111"/>
      <c r="C1708" s="113"/>
      <c r="D1708" s="113"/>
    </row>
    <row r="1709">
      <c r="A1709" s="111"/>
      <c r="B1709" s="111"/>
      <c r="C1709" s="113"/>
      <c r="D1709" s="113"/>
    </row>
    <row r="1710">
      <c r="A1710" s="111"/>
      <c r="B1710" s="111"/>
      <c r="C1710" s="113"/>
      <c r="D1710" s="113"/>
    </row>
    <row r="1711">
      <c r="A1711" s="111"/>
      <c r="B1711" s="111"/>
      <c r="C1711" s="113"/>
      <c r="D1711" s="113"/>
    </row>
    <row r="1712">
      <c r="A1712" s="111"/>
      <c r="B1712" s="111"/>
      <c r="C1712" s="113"/>
      <c r="D1712" s="113"/>
    </row>
    <row r="1713">
      <c r="A1713" s="111"/>
      <c r="B1713" s="111"/>
      <c r="C1713" s="113"/>
      <c r="D1713" s="113"/>
    </row>
    <row r="1714">
      <c r="A1714" s="111"/>
      <c r="B1714" s="111"/>
      <c r="C1714" s="113"/>
      <c r="D1714" s="113"/>
    </row>
    <row r="1715">
      <c r="A1715" s="111"/>
      <c r="B1715" s="111"/>
      <c r="C1715" s="113"/>
      <c r="D1715" s="113"/>
    </row>
    <row r="1716">
      <c r="A1716" s="111"/>
      <c r="B1716" s="111"/>
      <c r="C1716" s="113"/>
      <c r="D1716" s="113"/>
    </row>
    <row r="1717">
      <c r="A1717" s="111"/>
      <c r="B1717" s="111"/>
      <c r="C1717" s="113"/>
      <c r="D1717" s="113"/>
    </row>
    <row r="1718">
      <c r="A1718" s="111"/>
      <c r="B1718" s="111"/>
      <c r="C1718" s="113"/>
      <c r="D1718" s="113"/>
    </row>
    <row r="1719">
      <c r="A1719" s="111"/>
      <c r="B1719" s="111"/>
      <c r="C1719" s="113"/>
      <c r="D1719" s="113"/>
    </row>
    <row r="1720">
      <c r="A1720" s="111"/>
      <c r="B1720" s="111"/>
      <c r="C1720" s="113"/>
      <c r="D1720" s="113"/>
    </row>
    <row r="1721">
      <c r="A1721" s="111"/>
      <c r="B1721" s="111"/>
      <c r="C1721" s="113"/>
      <c r="D1721" s="113"/>
    </row>
    <row r="1722">
      <c r="A1722" s="111"/>
      <c r="B1722" s="111"/>
      <c r="C1722" s="113"/>
      <c r="D1722" s="113"/>
    </row>
    <row r="1723">
      <c r="A1723" s="111"/>
      <c r="B1723" s="111"/>
      <c r="C1723" s="113"/>
      <c r="D1723" s="113"/>
    </row>
    <row r="1724">
      <c r="A1724" s="111"/>
      <c r="B1724" s="111"/>
      <c r="C1724" s="113"/>
      <c r="D1724" s="113"/>
    </row>
    <row r="1725">
      <c r="A1725" s="111"/>
      <c r="B1725" s="111"/>
      <c r="C1725" s="113"/>
      <c r="D1725" s="113"/>
    </row>
    <row r="1726">
      <c r="A1726" s="111"/>
      <c r="B1726" s="111"/>
      <c r="C1726" s="113"/>
      <c r="D1726" s="113"/>
    </row>
    <row r="1727">
      <c r="A1727" s="111"/>
      <c r="B1727" s="111"/>
      <c r="C1727" s="113"/>
      <c r="D1727" s="113"/>
    </row>
    <row r="1728">
      <c r="A1728" s="111"/>
      <c r="B1728" s="111"/>
      <c r="C1728" s="113"/>
      <c r="D1728" s="113"/>
    </row>
    <row r="1729">
      <c r="A1729" s="111"/>
      <c r="B1729" s="111"/>
      <c r="C1729" s="113"/>
      <c r="D1729" s="113"/>
    </row>
    <row r="1730">
      <c r="A1730" s="111"/>
      <c r="B1730" s="111"/>
      <c r="C1730" s="113"/>
      <c r="D1730" s="113"/>
    </row>
    <row r="1731">
      <c r="A1731" s="111"/>
      <c r="B1731" s="111"/>
      <c r="C1731" s="113"/>
      <c r="D1731" s="113"/>
    </row>
    <row r="1732">
      <c r="A1732" s="111"/>
      <c r="B1732" s="111"/>
      <c r="C1732" s="113"/>
      <c r="D1732" s="113"/>
    </row>
    <row r="1733">
      <c r="A1733" s="111"/>
      <c r="B1733" s="111"/>
      <c r="C1733" s="113"/>
      <c r="D1733" s="113"/>
    </row>
    <row r="1734">
      <c r="A1734" s="111"/>
      <c r="B1734" s="111"/>
      <c r="C1734" s="113"/>
      <c r="D1734" s="113"/>
    </row>
    <row r="1735">
      <c r="A1735" s="111"/>
      <c r="B1735" s="111"/>
      <c r="C1735" s="113"/>
      <c r="D1735" s="113"/>
    </row>
    <row r="1736">
      <c r="A1736" s="111"/>
      <c r="B1736" s="111"/>
      <c r="C1736" s="113"/>
      <c r="D1736" s="113"/>
    </row>
    <row r="1737">
      <c r="A1737" s="111"/>
      <c r="B1737" s="111"/>
      <c r="C1737" s="113"/>
      <c r="D1737" s="113"/>
    </row>
    <row r="1738">
      <c r="A1738" s="111"/>
      <c r="B1738" s="111"/>
      <c r="C1738" s="113"/>
      <c r="D1738" s="113"/>
    </row>
    <row r="1739">
      <c r="A1739" s="111"/>
      <c r="B1739" s="111"/>
      <c r="C1739" s="113"/>
      <c r="D1739" s="113"/>
    </row>
    <row r="1740">
      <c r="A1740" s="111"/>
      <c r="B1740" s="111"/>
      <c r="C1740" s="113"/>
      <c r="D1740" s="113"/>
    </row>
    <row r="1741">
      <c r="A1741" s="111"/>
      <c r="B1741" s="111"/>
      <c r="C1741" s="113"/>
      <c r="D1741" s="113"/>
    </row>
    <row r="1742">
      <c r="A1742" s="111"/>
      <c r="B1742" s="111"/>
      <c r="C1742" s="113"/>
      <c r="D1742" s="113"/>
    </row>
    <row r="1743">
      <c r="A1743" s="111"/>
      <c r="B1743" s="111"/>
      <c r="C1743" s="113"/>
      <c r="D1743" s="113"/>
    </row>
    <row r="1744">
      <c r="A1744" s="111"/>
      <c r="B1744" s="111"/>
      <c r="C1744" s="113"/>
      <c r="D1744" s="113"/>
    </row>
    <row r="1745">
      <c r="A1745" s="111"/>
      <c r="B1745" s="111"/>
      <c r="C1745" s="113"/>
      <c r="D1745" s="113"/>
    </row>
    <row r="1746">
      <c r="A1746" s="111"/>
      <c r="B1746" s="111"/>
      <c r="C1746" s="113"/>
      <c r="D1746" s="113"/>
    </row>
    <row r="1747">
      <c r="A1747" s="111"/>
      <c r="B1747" s="111"/>
      <c r="C1747" s="113"/>
      <c r="D1747" s="113"/>
    </row>
    <row r="1748">
      <c r="A1748" s="111"/>
      <c r="B1748" s="111"/>
      <c r="C1748" s="113"/>
      <c r="D1748" s="113"/>
    </row>
    <row r="1749">
      <c r="A1749" s="111"/>
      <c r="B1749" s="111"/>
      <c r="C1749" s="113"/>
      <c r="D1749" s="113"/>
    </row>
    <row r="1750">
      <c r="A1750" s="111"/>
      <c r="B1750" s="111"/>
      <c r="C1750" s="113"/>
      <c r="D1750" s="113"/>
    </row>
    <row r="1751">
      <c r="A1751" s="111"/>
      <c r="B1751" s="111"/>
      <c r="C1751" s="113"/>
      <c r="D1751" s="113"/>
    </row>
    <row r="1752">
      <c r="A1752" s="111"/>
      <c r="B1752" s="111"/>
      <c r="C1752" s="113"/>
      <c r="D1752" s="113"/>
    </row>
    <row r="1753">
      <c r="A1753" s="111"/>
      <c r="B1753" s="111"/>
      <c r="C1753" s="113"/>
      <c r="D1753" s="113"/>
    </row>
    <row r="1754">
      <c r="A1754" s="111"/>
      <c r="B1754" s="111"/>
      <c r="C1754" s="113"/>
      <c r="D1754" s="113"/>
    </row>
    <row r="1755">
      <c r="A1755" s="111"/>
      <c r="B1755" s="111"/>
      <c r="C1755" s="113"/>
      <c r="D1755" s="113"/>
    </row>
    <row r="1756">
      <c r="A1756" s="111"/>
      <c r="B1756" s="111"/>
      <c r="C1756" s="113"/>
      <c r="D1756" s="113"/>
    </row>
    <row r="1757">
      <c r="A1757" s="111"/>
      <c r="B1757" s="111"/>
      <c r="C1757" s="113"/>
      <c r="D1757" s="113"/>
    </row>
    <row r="1758">
      <c r="A1758" s="111"/>
      <c r="B1758" s="111"/>
      <c r="C1758" s="113"/>
      <c r="D1758" s="113"/>
    </row>
    <row r="1759">
      <c r="A1759" s="111"/>
      <c r="B1759" s="111"/>
      <c r="C1759" s="113"/>
      <c r="D1759" s="113"/>
    </row>
    <row r="1760">
      <c r="A1760" s="111"/>
      <c r="B1760" s="111"/>
      <c r="C1760" s="113"/>
      <c r="D1760" s="113"/>
    </row>
    <row r="1761">
      <c r="A1761" s="111"/>
      <c r="B1761" s="111"/>
      <c r="C1761" s="113"/>
      <c r="D1761" s="113"/>
    </row>
    <row r="1762">
      <c r="A1762" s="111"/>
      <c r="B1762" s="111"/>
      <c r="C1762" s="113"/>
      <c r="D1762" s="113"/>
    </row>
    <row r="1763">
      <c r="A1763" s="111"/>
      <c r="B1763" s="111"/>
      <c r="C1763" s="113"/>
      <c r="D1763" s="113"/>
    </row>
    <row r="1764">
      <c r="A1764" s="111"/>
      <c r="B1764" s="111"/>
      <c r="C1764" s="113"/>
      <c r="D1764" s="113"/>
    </row>
    <row r="1765">
      <c r="A1765" s="111"/>
      <c r="B1765" s="111"/>
      <c r="C1765" s="113"/>
      <c r="D1765" s="113"/>
    </row>
    <row r="1766">
      <c r="A1766" s="111"/>
      <c r="B1766" s="111"/>
      <c r="C1766" s="113"/>
      <c r="D1766" s="113"/>
    </row>
    <row r="1767">
      <c r="A1767" s="111"/>
      <c r="B1767" s="111"/>
      <c r="C1767" s="113"/>
      <c r="D1767" s="113"/>
    </row>
    <row r="1768">
      <c r="A1768" s="111"/>
      <c r="B1768" s="111"/>
      <c r="C1768" s="113"/>
      <c r="D1768" s="113"/>
    </row>
    <row r="1769">
      <c r="A1769" s="111"/>
      <c r="B1769" s="111"/>
      <c r="C1769" s="113"/>
      <c r="D1769" s="113"/>
    </row>
    <row r="1770">
      <c r="A1770" s="111"/>
      <c r="B1770" s="111"/>
      <c r="C1770" s="113"/>
      <c r="D1770" s="113"/>
    </row>
    <row r="1771">
      <c r="A1771" s="111"/>
      <c r="B1771" s="111"/>
      <c r="C1771" s="113"/>
      <c r="D1771" s="113"/>
    </row>
    <row r="1772">
      <c r="A1772" s="111"/>
      <c r="B1772" s="111"/>
      <c r="C1772" s="113"/>
      <c r="D1772" s="113"/>
    </row>
    <row r="1773">
      <c r="A1773" s="111"/>
      <c r="B1773" s="111"/>
      <c r="C1773" s="113"/>
      <c r="D1773" s="113"/>
    </row>
    <row r="1774">
      <c r="A1774" s="111"/>
      <c r="B1774" s="111"/>
      <c r="C1774" s="113"/>
      <c r="D1774" s="113"/>
    </row>
    <row r="1775">
      <c r="A1775" s="111"/>
      <c r="B1775" s="111"/>
      <c r="C1775" s="113"/>
      <c r="D1775" s="113"/>
    </row>
    <row r="1776">
      <c r="A1776" s="111"/>
      <c r="B1776" s="111"/>
      <c r="C1776" s="113"/>
      <c r="D1776" s="113"/>
    </row>
    <row r="1777">
      <c r="A1777" s="111"/>
      <c r="B1777" s="111"/>
      <c r="C1777" s="113"/>
      <c r="D1777" s="113"/>
    </row>
    <row r="1778">
      <c r="A1778" s="111"/>
      <c r="B1778" s="111"/>
      <c r="C1778" s="113"/>
      <c r="D1778" s="113"/>
    </row>
    <row r="1779">
      <c r="A1779" s="111"/>
      <c r="B1779" s="111"/>
      <c r="C1779" s="113"/>
      <c r="D1779" s="113"/>
    </row>
    <row r="1780">
      <c r="A1780" s="111"/>
      <c r="B1780" s="111"/>
      <c r="C1780" s="113"/>
      <c r="D1780" s="113"/>
    </row>
    <row r="1781">
      <c r="A1781" s="111"/>
      <c r="B1781" s="111"/>
      <c r="C1781" s="113"/>
      <c r="D1781" s="113"/>
    </row>
    <row r="1782">
      <c r="A1782" s="111"/>
      <c r="B1782" s="111"/>
      <c r="C1782" s="113"/>
      <c r="D1782" s="113"/>
    </row>
    <row r="1783">
      <c r="A1783" s="111"/>
      <c r="B1783" s="111"/>
      <c r="C1783" s="113"/>
      <c r="D1783" s="113"/>
    </row>
    <row r="1784">
      <c r="A1784" s="111"/>
      <c r="B1784" s="111"/>
      <c r="C1784" s="113"/>
      <c r="D1784" s="113"/>
    </row>
    <row r="1785">
      <c r="A1785" s="111"/>
      <c r="B1785" s="111"/>
      <c r="C1785" s="113"/>
      <c r="D1785" s="113"/>
    </row>
    <row r="1786">
      <c r="A1786" s="111"/>
      <c r="B1786" s="111"/>
      <c r="C1786" s="113"/>
      <c r="D1786" s="113"/>
    </row>
    <row r="1787">
      <c r="A1787" s="111"/>
      <c r="B1787" s="111"/>
      <c r="C1787" s="113"/>
      <c r="D1787" s="113"/>
    </row>
    <row r="1788">
      <c r="A1788" s="111"/>
      <c r="B1788" s="111"/>
      <c r="C1788" s="113"/>
      <c r="D1788" s="113"/>
    </row>
    <row r="1789">
      <c r="A1789" s="111"/>
      <c r="B1789" s="111"/>
      <c r="C1789" s="113"/>
      <c r="D1789" s="113"/>
    </row>
    <row r="1790">
      <c r="A1790" s="111"/>
      <c r="B1790" s="111"/>
      <c r="C1790" s="113"/>
      <c r="D1790" s="113"/>
    </row>
    <row r="1791">
      <c r="A1791" s="111"/>
      <c r="B1791" s="111"/>
      <c r="C1791" s="113"/>
      <c r="D1791" s="113"/>
    </row>
    <row r="1792">
      <c r="A1792" s="111"/>
      <c r="B1792" s="111"/>
      <c r="C1792" s="113"/>
      <c r="D1792" s="113"/>
    </row>
    <row r="1793">
      <c r="A1793" s="111"/>
      <c r="B1793" s="111"/>
      <c r="C1793" s="113"/>
      <c r="D1793" s="113"/>
    </row>
    <row r="1794">
      <c r="A1794" s="111"/>
      <c r="B1794" s="111"/>
      <c r="C1794" s="113"/>
      <c r="D1794" s="113"/>
    </row>
    <row r="1795">
      <c r="A1795" s="111"/>
      <c r="B1795" s="111"/>
      <c r="C1795" s="113"/>
      <c r="D1795" s="113"/>
    </row>
    <row r="1796">
      <c r="A1796" s="111"/>
      <c r="B1796" s="111"/>
      <c r="C1796" s="113"/>
      <c r="D1796" s="113"/>
    </row>
    <row r="1797">
      <c r="A1797" s="111"/>
      <c r="B1797" s="111"/>
      <c r="C1797" s="113"/>
      <c r="D1797" s="113"/>
    </row>
    <row r="1798">
      <c r="A1798" s="111"/>
      <c r="B1798" s="111"/>
      <c r="C1798" s="113"/>
      <c r="D1798" s="113"/>
    </row>
    <row r="1799">
      <c r="A1799" s="111"/>
      <c r="B1799" s="111"/>
      <c r="C1799" s="113"/>
      <c r="D1799" s="113"/>
    </row>
    <row r="1800">
      <c r="A1800" s="111"/>
      <c r="B1800" s="111"/>
      <c r="C1800" s="113"/>
      <c r="D1800" s="113"/>
    </row>
    <row r="1801">
      <c r="A1801" s="111"/>
      <c r="B1801" s="111"/>
      <c r="C1801" s="113"/>
      <c r="D1801" s="113"/>
    </row>
    <row r="1802">
      <c r="A1802" s="111"/>
      <c r="B1802" s="111"/>
      <c r="C1802" s="113"/>
      <c r="D1802" s="113"/>
    </row>
    <row r="1803">
      <c r="A1803" s="111"/>
      <c r="B1803" s="111"/>
      <c r="C1803" s="113"/>
      <c r="D1803" s="113"/>
    </row>
    <row r="1804">
      <c r="A1804" s="111"/>
      <c r="B1804" s="111"/>
      <c r="C1804" s="113"/>
      <c r="D1804" s="113"/>
    </row>
    <row r="1805">
      <c r="A1805" s="111"/>
      <c r="B1805" s="111"/>
      <c r="C1805" s="113"/>
      <c r="D1805" s="113"/>
    </row>
    <row r="1806">
      <c r="A1806" s="111"/>
      <c r="B1806" s="111"/>
      <c r="C1806" s="113"/>
      <c r="D1806" s="113"/>
    </row>
    <row r="1807">
      <c r="A1807" s="111"/>
      <c r="B1807" s="111"/>
      <c r="C1807" s="113"/>
      <c r="D1807" s="113"/>
    </row>
    <row r="1808">
      <c r="A1808" s="111"/>
      <c r="B1808" s="111"/>
      <c r="C1808" s="113"/>
      <c r="D1808" s="113"/>
    </row>
    <row r="1809">
      <c r="A1809" s="111"/>
      <c r="B1809" s="111"/>
      <c r="C1809" s="113"/>
      <c r="D1809" s="113"/>
    </row>
    <row r="1810">
      <c r="A1810" s="111"/>
      <c r="B1810" s="111"/>
      <c r="C1810" s="113"/>
      <c r="D1810" s="113"/>
    </row>
    <row r="1811">
      <c r="A1811" s="111"/>
      <c r="B1811" s="111"/>
      <c r="C1811" s="113"/>
      <c r="D1811" s="113"/>
    </row>
    <row r="1812">
      <c r="A1812" s="111"/>
      <c r="B1812" s="111"/>
      <c r="C1812" s="113"/>
      <c r="D1812" s="113"/>
    </row>
    <row r="1813">
      <c r="A1813" s="111"/>
      <c r="B1813" s="111"/>
      <c r="C1813" s="113"/>
      <c r="D1813" s="113"/>
    </row>
    <row r="1814">
      <c r="A1814" s="111"/>
      <c r="B1814" s="111"/>
      <c r="C1814" s="113"/>
      <c r="D1814" s="113"/>
    </row>
    <row r="1815">
      <c r="A1815" s="111"/>
      <c r="B1815" s="111"/>
      <c r="C1815" s="113"/>
      <c r="D1815" s="113"/>
    </row>
    <row r="1816">
      <c r="A1816" s="111"/>
      <c r="B1816" s="111"/>
      <c r="C1816" s="113"/>
      <c r="D1816" s="113"/>
    </row>
    <row r="1817">
      <c r="A1817" s="111"/>
      <c r="B1817" s="111"/>
      <c r="C1817" s="113"/>
      <c r="D1817" s="113"/>
    </row>
    <row r="1818">
      <c r="A1818" s="111"/>
      <c r="B1818" s="111"/>
      <c r="C1818" s="113"/>
      <c r="D1818" s="113"/>
    </row>
    <row r="1819">
      <c r="A1819" s="111"/>
      <c r="B1819" s="111"/>
      <c r="C1819" s="113"/>
      <c r="D1819" s="113"/>
    </row>
    <row r="1820">
      <c r="A1820" s="111"/>
      <c r="B1820" s="111"/>
      <c r="C1820" s="113"/>
      <c r="D1820" s="113"/>
    </row>
    <row r="1821">
      <c r="A1821" s="111"/>
      <c r="B1821" s="111"/>
      <c r="C1821" s="113"/>
      <c r="D1821" s="113"/>
    </row>
    <row r="1822">
      <c r="A1822" s="111"/>
      <c r="B1822" s="111"/>
      <c r="C1822" s="113"/>
      <c r="D1822" s="113"/>
    </row>
    <row r="1823">
      <c r="A1823" s="111"/>
      <c r="B1823" s="111"/>
      <c r="C1823" s="113"/>
      <c r="D1823" s="113"/>
    </row>
    <row r="1824">
      <c r="A1824" s="111"/>
      <c r="B1824" s="111"/>
      <c r="C1824" s="113"/>
      <c r="D1824" s="113"/>
    </row>
    <row r="1825">
      <c r="A1825" s="111"/>
      <c r="B1825" s="111"/>
      <c r="C1825" s="113"/>
      <c r="D1825" s="113"/>
    </row>
    <row r="1826">
      <c r="A1826" s="111"/>
      <c r="B1826" s="111"/>
      <c r="C1826" s="113"/>
      <c r="D1826" s="113"/>
    </row>
    <row r="1827">
      <c r="A1827" s="111"/>
      <c r="B1827" s="111"/>
      <c r="C1827" s="113"/>
      <c r="D1827" s="113"/>
    </row>
    <row r="1828">
      <c r="A1828" s="111"/>
      <c r="B1828" s="111"/>
      <c r="C1828" s="113"/>
      <c r="D1828" s="113"/>
    </row>
    <row r="1829">
      <c r="A1829" s="111"/>
      <c r="B1829" s="111"/>
      <c r="C1829" s="113"/>
      <c r="D1829" s="113"/>
    </row>
    <row r="1830">
      <c r="A1830" s="111"/>
      <c r="B1830" s="111"/>
      <c r="C1830" s="113"/>
      <c r="D1830" s="113"/>
    </row>
    <row r="1831">
      <c r="A1831" s="111"/>
      <c r="B1831" s="111"/>
      <c r="C1831" s="113"/>
      <c r="D1831" s="113"/>
    </row>
    <row r="1832">
      <c r="A1832" s="111"/>
      <c r="B1832" s="111"/>
      <c r="C1832" s="113"/>
      <c r="D1832" s="113"/>
    </row>
    <row r="1833">
      <c r="A1833" s="111"/>
      <c r="B1833" s="111"/>
      <c r="C1833" s="113"/>
      <c r="D1833" s="113"/>
    </row>
    <row r="1834">
      <c r="A1834" s="111"/>
      <c r="B1834" s="111"/>
      <c r="C1834" s="113"/>
      <c r="D1834" s="113"/>
    </row>
    <row r="1835">
      <c r="A1835" s="111"/>
      <c r="B1835" s="111"/>
      <c r="C1835" s="113"/>
      <c r="D1835" s="113"/>
    </row>
    <row r="1836">
      <c r="A1836" s="111"/>
      <c r="B1836" s="111"/>
      <c r="C1836" s="113"/>
      <c r="D1836" s="113"/>
    </row>
    <row r="1837">
      <c r="A1837" s="111"/>
      <c r="B1837" s="111"/>
      <c r="C1837" s="113"/>
      <c r="D1837" s="113"/>
    </row>
    <row r="1838">
      <c r="A1838" s="111"/>
      <c r="B1838" s="111"/>
      <c r="C1838" s="113"/>
      <c r="D1838" s="113"/>
    </row>
    <row r="1839">
      <c r="A1839" s="111"/>
      <c r="B1839" s="111"/>
      <c r="C1839" s="113"/>
      <c r="D1839" s="113"/>
    </row>
    <row r="1840">
      <c r="A1840" s="111"/>
      <c r="B1840" s="111"/>
      <c r="C1840" s="113"/>
      <c r="D1840" s="113"/>
    </row>
    <row r="1841">
      <c r="A1841" s="111"/>
      <c r="B1841" s="111"/>
      <c r="C1841" s="113"/>
      <c r="D1841" s="113"/>
    </row>
    <row r="1842">
      <c r="A1842" s="111"/>
      <c r="B1842" s="111"/>
      <c r="C1842" s="113"/>
      <c r="D1842" s="113"/>
    </row>
    <row r="1843">
      <c r="A1843" s="111"/>
      <c r="B1843" s="111"/>
      <c r="C1843" s="113"/>
      <c r="D1843" s="113"/>
    </row>
    <row r="1844">
      <c r="A1844" s="111"/>
      <c r="B1844" s="111"/>
      <c r="C1844" s="113"/>
      <c r="D1844" s="113"/>
    </row>
    <row r="1845">
      <c r="A1845" s="111"/>
      <c r="B1845" s="111"/>
      <c r="C1845" s="113"/>
      <c r="D1845" s="113"/>
    </row>
    <row r="1846">
      <c r="A1846" s="111"/>
      <c r="B1846" s="111"/>
      <c r="C1846" s="113"/>
      <c r="D1846" s="113"/>
    </row>
    <row r="1847">
      <c r="A1847" s="111"/>
      <c r="B1847" s="111"/>
      <c r="C1847" s="113"/>
      <c r="D1847" s="113"/>
    </row>
    <row r="1848">
      <c r="A1848" s="111"/>
      <c r="B1848" s="111"/>
      <c r="C1848" s="113"/>
      <c r="D1848" s="113"/>
    </row>
    <row r="1849">
      <c r="A1849" s="111"/>
      <c r="B1849" s="111"/>
      <c r="C1849" s="113"/>
      <c r="D1849" s="113"/>
    </row>
    <row r="1850">
      <c r="A1850" s="111"/>
      <c r="B1850" s="111"/>
      <c r="C1850" s="113"/>
      <c r="D1850" s="113"/>
    </row>
    <row r="1851">
      <c r="A1851" s="111"/>
      <c r="B1851" s="111"/>
      <c r="C1851" s="113"/>
      <c r="D1851" s="113"/>
    </row>
    <row r="1852">
      <c r="A1852" s="111"/>
      <c r="B1852" s="111"/>
      <c r="C1852" s="113"/>
      <c r="D1852" s="113"/>
    </row>
    <row r="1853">
      <c r="A1853" s="111"/>
      <c r="B1853" s="111"/>
      <c r="C1853" s="113"/>
      <c r="D1853" s="113"/>
    </row>
    <row r="1854">
      <c r="A1854" s="111"/>
      <c r="B1854" s="111"/>
      <c r="C1854" s="113"/>
      <c r="D1854" s="113"/>
    </row>
    <row r="1855">
      <c r="A1855" s="111"/>
      <c r="B1855" s="111"/>
      <c r="C1855" s="113"/>
      <c r="D1855" s="113"/>
    </row>
    <row r="1856">
      <c r="A1856" s="111"/>
      <c r="B1856" s="111"/>
      <c r="C1856" s="113"/>
      <c r="D1856" s="113"/>
    </row>
    <row r="1857">
      <c r="A1857" s="111"/>
      <c r="B1857" s="111"/>
      <c r="C1857" s="113"/>
      <c r="D1857" s="113"/>
    </row>
    <row r="1858">
      <c r="A1858" s="111"/>
      <c r="B1858" s="111"/>
      <c r="C1858" s="113"/>
      <c r="D1858" s="113"/>
    </row>
    <row r="1859">
      <c r="A1859" s="111"/>
      <c r="B1859" s="111"/>
      <c r="C1859" s="113"/>
      <c r="D1859" s="113"/>
    </row>
    <row r="1860">
      <c r="A1860" s="111"/>
      <c r="B1860" s="111"/>
      <c r="C1860" s="113"/>
      <c r="D1860" s="113"/>
    </row>
    <row r="1861">
      <c r="A1861" s="111"/>
      <c r="B1861" s="111"/>
      <c r="C1861" s="113"/>
      <c r="D1861" s="113"/>
    </row>
    <row r="1862">
      <c r="A1862" s="111"/>
      <c r="B1862" s="111"/>
      <c r="C1862" s="113"/>
      <c r="D1862" s="113"/>
    </row>
    <row r="1863">
      <c r="A1863" s="111"/>
      <c r="B1863" s="111"/>
      <c r="C1863" s="113"/>
      <c r="D1863" s="113"/>
    </row>
    <row r="1864">
      <c r="A1864" s="111"/>
      <c r="B1864" s="111"/>
      <c r="C1864" s="113"/>
      <c r="D1864" s="113"/>
    </row>
    <row r="1865">
      <c r="A1865" s="111"/>
      <c r="B1865" s="111"/>
      <c r="C1865" s="113"/>
      <c r="D1865" s="113"/>
    </row>
    <row r="1866">
      <c r="A1866" s="111"/>
      <c r="B1866" s="111"/>
      <c r="C1866" s="113"/>
      <c r="D1866" s="113"/>
    </row>
    <row r="1867">
      <c r="A1867" s="111"/>
      <c r="B1867" s="111"/>
      <c r="C1867" s="113"/>
      <c r="D1867" s="113"/>
    </row>
    <row r="1868">
      <c r="A1868" s="111"/>
      <c r="B1868" s="111"/>
      <c r="C1868" s="113"/>
      <c r="D1868" s="113"/>
    </row>
    <row r="1869">
      <c r="A1869" s="111"/>
      <c r="B1869" s="111"/>
      <c r="C1869" s="113"/>
      <c r="D1869" s="113"/>
    </row>
    <row r="1870">
      <c r="A1870" s="111"/>
      <c r="B1870" s="111"/>
      <c r="C1870" s="113"/>
      <c r="D1870" s="113"/>
    </row>
    <row r="1871">
      <c r="A1871" s="111"/>
      <c r="B1871" s="111"/>
      <c r="C1871" s="113"/>
      <c r="D1871" s="113"/>
    </row>
    <row r="1872">
      <c r="A1872" s="111"/>
      <c r="B1872" s="111"/>
      <c r="C1872" s="113"/>
      <c r="D1872" s="113"/>
    </row>
    <row r="1873">
      <c r="A1873" s="111"/>
      <c r="B1873" s="111"/>
      <c r="C1873" s="113"/>
      <c r="D1873" s="113"/>
    </row>
    <row r="1874">
      <c r="A1874" s="111"/>
      <c r="B1874" s="111"/>
      <c r="C1874" s="113"/>
      <c r="D1874" s="113"/>
    </row>
    <row r="1875">
      <c r="A1875" s="111"/>
      <c r="B1875" s="111"/>
      <c r="C1875" s="113"/>
      <c r="D1875" s="113"/>
    </row>
    <row r="1876">
      <c r="A1876" s="111"/>
      <c r="B1876" s="111"/>
      <c r="C1876" s="113"/>
      <c r="D1876" s="113"/>
    </row>
    <row r="1877">
      <c r="A1877" s="111"/>
      <c r="B1877" s="111"/>
      <c r="C1877" s="113"/>
      <c r="D1877" s="113"/>
    </row>
    <row r="1878">
      <c r="A1878" s="111"/>
      <c r="B1878" s="111"/>
      <c r="C1878" s="113"/>
      <c r="D1878" s="113"/>
    </row>
    <row r="1879">
      <c r="A1879" s="111"/>
      <c r="B1879" s="111"/>
      <c r="C1879" s="113"/>
      <c r="D1879" s="113"/>
    </row>
    <row r="1880">
      <c r="A1880" s="111"/>
      <c r="B1880" s="111"/>
      <c r="C1880" s="113"/>
      <c r="D1880" s="113"/>
    </row>
    <row r="1881">
      <c r="A1881" s="111"/>
      <c r="B1881" s="111"/>
      <c r="C1881" s="113"/>
      <c r="D1881" s="113"/>
    </row>
    <row r="1882">
      <c r="A1882" s="111"/>
      <c r="B1882" s="111"/>
      <c r="C1882" s="113"/>
      <c r="D1882" s="113"/>
    </row>
    <row r="1883">
      <c r="A1883" s="111"/>
      <c r="B1883" s="111"/>
      <c r="C1883" s="113"/>
      <c r="D1883" s="113"/>
    </row>
    <row r="1884">
      <c r="A1884" s="111"/>
      <c r="B1884" s="111"/>
      <c r="C1884" s="113"/>
      <c r="D1884" s="113"/>
    </row>
    <row r="1885">
      <c r="A1885" s="111"/>
      <c r="B1885" s="111"/>
      <c r="C1885" s="113"/>
      <c r="D1885" s="113"/>
    </row>
    <row r="1886">
      <c r="A1886" s="111"/>
      <c r="B1886" s="111"/>
      <c r="C1886" s="113"/>
      <c r="D1886" s="113"/>
    </row>
    <row r="1887">
      <c r="A1887" s="111"/>
      <c r="B1887" s="111"/>
      <c r="C1887" s="113"/>
      <c r="D1887" s="113"/>
    </row>
    <row r="1888">
      <c r="A1888" s="111"/>
      <c r="B1888" s="111"/>
      <c r="C1888" s="113"/>
      <c r="D1888" s="113"/>
    </row>
    <row r="1889">
      <c r="A1889" s="111"/>
      <c r="B1889" s="111"/>
      <c r="C1889" s="113"/>
      <c r="D1889" s="113"/>
    </row>
    <row r="1890">
      <c r="A1890" s="111"/>
      <c r="B1890" s="111"/>
      <c r="C1890" s="113"/>
      <c r="D1890" s="113"/>
    </row>
    <row r="1891">
      <c r="A1891" s="111"/>
      <c r="B1891" s="111"/>
      <c r="C1891" s="113"/>
      <c r="D1891" s="113"/>
    </row>
    <row r="1892">
      <c r="A1892" s="111"/>
      <c r="B1892" s="111"/>
      <c r="C1892" s="113"/>
      <c r="D1892" s="113"/>
    </row>
    <row r="1893">
      <c r="A1893" s="111"/>
      <c r="B1893" s="111"/>
      <c r="C1893" s="113"/>
      <c r="D1893" s="113"/>
    </row>
    <row r="1894">
      <c r="A1894" s="111"/>
      <c r="B1894" s="111"/>
      <c r="C1894" s="113"/>
      <c r="D1894" s="113"/>
    </row>
    <row r="1895">
      <c r="A1895" s="111"/>
      <c r="B1895" s="111"/>
      <c r="C1895" s="113"/>
      <c r="D1895" s="113"/>
    </row>
    <row r="1896">
      <c r="A1896" s="111"/>
      <c r="B1896" s="111"/>
      <c r="C1896" s="113"/>
      <c r="D1896" s="113"/>
    </row>
    <row r="1897">
      <c r="A1897" s="111"/>
      <c r="B1897" s="111"/>
      <c r="C1897" s="113"/>
      <c r="D1897" s="113"/>
    </row>
    <row r="1898">
      <c r="A1898" s="111"/>
      <c r="B1898" s="111"/>
      <c r="C1898" s="113"/>
      <c r="D1898" s="113"/>
    </row>
    <row r="1899">
      <c r="A1899" s="111"/>
      <c r="B1899" s="111"/>
      <c r="C1899" s="113"/>
      <c r="D1899" s="113"/>
    </row>
    <row r="1900">
      <c r="A1900" s="111"/>
      <c r="B1900" s="111"/>
      <c r="C1900" s="113"/>
      <c r="D1900" s="113"/>
    </row>
    <row r="1901">
      <c r="A1901" s="111"/>
      <c r="B1901" s="111"/>
      <c r="C1901" s="113"/>
      <c r="D1901" s="113"/>
    </row>
    <row r="1902">
      <c r="A1902" s="111"/>
      <c r="B1902" s="111"/>
      <c r="C1902" s="113"/>
      <c r="D1902" s="113"/>
    </row>
    <row r="1903">
      <c r="A1903" s="111"/>
      <c r="B1903" s="111"/>
      <c r="C1903" s="113"/>
      <c r="D1903" s="113"/>
    </row>
    <row r="1904">
      <c r="A1904" s="111"/>
      <c r="B1904" s="111"/>
      <c r="C1904" s="113"/>
      <c r="D1904" s="113"/>
    </row>
    <row r="1905">
      <c r="A1905" s="111"/>
      <c r="B1905" s="111"/>
      <c r="C1905" s="113"/>
      <c r="D1905" s="113"/>
    </row>
    <row r="1906">
      <c r="A1906" s="111"/>
      <c r="B1906" s="111"/>
      <c r="C1906" s="113"/>
      <c r="D1906" s="113"/>
    </row>
    <row r="1907">
      <c r="A1907" s="111"/>
      <c r="B1907" s="111"/>
      <c r="C1907" s="113"/>
      <c r="D1907" s="113"/>
    </row>
    <row r="1908">
      <c r="A1908" s="111"/>
      <c r="B1908" s="111"/>
      <c r="C1908" s="113"/>
      <c r="D1908" s="113"/>
    </row>
    <row r="1909">
      <c r="A1909" s="111"/>
      <c r="B1909" s="111"/>
      <c r="C1909" s="113"/>
      <c r="D1909" s="113"/>
    </row>
    <row r="1910">
      <c r="A1910" s="111"/>
      <c r="B1910" s="111"/>
      <c r="C1910" s="113"/>
      <c r="D1910" s="113"/>
    </row>
    <row r="1911">
      <c r="A1911" s="111"/>
      <c r="B1911" s="111"/>
      <c r="C1911" s="113"/>
      <c r="D1911" s="113"/>
    </row>
    <row r="1912">
      <c r="A1912" s="111"/>
      <c r="B1912" s="111"/>
      <c r="C1912" s="113"/>
      <c r="D1912" s="113"/>
    </row>
    <row r="1913">
      <c r="A1913" s="111"/>
      <c r="B1913" s="111"/>
      <c r="C1913" s="113"/>
      <c r="D1913" s="113"/>
    </row>
    <row r="1914">
      <c r="A1914" s="111"/>
      <c r="B1914" s="111"/>
      <c r="C1914" s="113"/>
      <c r="D1914" s="113"/>
    </row>
    <row r="1915">
      <c r="A1915" s="111"/>
      <c r="B1915" s="111"/>
      <c r="C1915" s="113"/>
      <c r="D1915" s="113"/>
    </row>
    <row r="1916">
      <c r="A1916" s="111"/>
      <c r="B1916" s="111"/>
      <c r="C1916" s="113"/>
      <c r="D1916" s="113"/>
    </row>
    <row r="1917">
      <c r="A1917" s="111"/>
      <c r="B1917" s="111"/>
      <c r="C1917" s="113"/>
      <c r="D1917" s="113"/>
    </row>
    <row r="1918">
      <c r="A1918" s="111"/>
      <c r="B1918" s="111"/>
      <c r="C1918" s="113"/>
      <c r="D1918" s="113"/>
    </row>
    <row r="1919">
      <c r="A1919" s="111"/>
      <c r="B1919" s="111"/>
      <c r="C1919" s="113"/>
      <c r="D1919" s="113"/>
    </row>
    <row r="1920">
      <c r="A1920" s="111"/>
      <c r="B1920" s="111"/>
      <c r="C1920" s="113"/>
      <c r="D1920" s="113"/>
    </row>
    <row r="1921">
      <c r="A1921" s="111"/>
      <c r="B1921" s="111"/>
      <c r="C1921" s="113"/>
      <c r="D1921" s="113"/>
    </row>
    <row r="1922">
      <c r="A1922" s="111"/>
      <c r="B1922" s="111"/>
      <c r="C1922" s="113"/>
      <c r="D1922" s="113"/>
    </row>
    <row r="1923">
      <c r="A1923" s="111"/>
      <c r="B1923" s="111"/>
      <c r="C1923" s="113"/>
      <c r="D1923" s="113"/>
    </row>
    <row r="1924">
      <c r="A1924" s="111"/>
      <c r="B1924" s="111"/>
      <c r="C1924" s="113"/>
      <c r="D1924" s="113"/>
    </row>
    <row r="1925">
      <c r="A1925" s="111"/>
      <c r="B1925" s="111"/>
      <c r="C1925" s="113"/>
      <c r="D1925" s="113"/>
    </row>
    <row r="1926">
      <c r="A1926" s="111"/>
      <c r="B1926" s="111"/>
      <c r="C1926" s="113"/>
      <c r="D1926" s="113"/>
    </row>
    <row r="1927">
      <c r="A1927" s="111"/>
      <c r="B1927" s="111"/>
      <c r="C1927" s="113"/>
      <c r="D1927" s="113"/>
    </row>
    <row r="1928">
      <c r="A1928" s="111"/>
      <c r="B1928" s="111"/>
      <c r="C1928" s="113"/>
      <c r="D1928" s="113"/>
    </row>
    <row r="1929">
      <c r="A1929" s="111"/>
      <c r="B1929" s="111"/>
      <c r="C1929" s="113"/>
      <c r="D1929" s="113"/>
    </row>
    <row r="1930">
      <c r="A1930" s="111"/>
      <c r="B1930" s="111"/>
      <c r="C1930" s="113"/>
      <c r="D1930" s="113"/>
    </row>
    <row r="1931">
      <c r="A1931" s="111"/>
      <c r="B1931" s="111"/>
      <c r="C1931" s="113"/>
      <c r="D1931" s="113"/>
    </row>
    <row r="1932">
      <c r="A1932" s="111"/>
      <c r="B1932" s="111"/>
      <c r="C1932" s="113"/>
      <c r="D1932" s="113"/>
    </row>
    <row r="1933">
      <c r="A1933" s="111"/>
      <c r="B1933" s="111"/>
      <c r="C1933" s="113"/>
      <c r="D1933" s="113"/>
    </row>
    <row r="1934">
      <c r="A1934" s="111"/>
      <c r="B1934" s="111"/>
      <c r="C1934" s="113"/>
      <c r="D1934" s="113"/>
    </row>
    <row r="1935">
      <c r="A1935" s="111"/>
      <c r="B1935" s="111"/>
      <c r="C1935" s="113"/>
      <c r="D1935" s="113"/>
    </row>
    <row r="1936">
      <c r="A1936" s="111"/>
      <c r="B1936" s="111"/>
      <c r="C1936" s="113"/>
      <c r="D1936" s="113"/>
    </row>
    <row r="1937">
      <c r="A1937" s="111"/>
      <c r="B1937" s="111"/>
      <c r="C1937" s="113"/>
      <c r="D1937" s="113"/>
    </row>
    <row r="1938">
      <c r="A1938" s="111"/>
      <c r="B1938" s="111"/>
      <c r="C1938" s="113"/>
      <c r="D1938" s="113"/>
    </row>
    <row r="1939">
      <c r="A1939" s="111"/>
      <c r="B1939" s="111"/>
      <c r="C1939" s="113"/>
      <c r="D1939" s="113"/>
    </row>
    <row r="1940">
      <c r="A1940" s="111"/>
      <c r="B1940" s="111"/>
      <c r="C1940" s="113"/>
      <c r="D1940" s="113"/>
    </row>
    <row r="1941">
      <c r="A1941" s="111"/>
      <c r="B1941" s="111"/>
      <c r="C1941" s="113"/>
      <c r="D1941" s="113"/>
    </row>
    <row r="1942">
      <c r="A1942" s="111"/>
      <c r="B1942" s="111"/>
      <c r="C1942" s="113"/>
      <c r="D1942" s="113"/>
    </row>
    <row r="1943">
      <c r="A1943" s="111"/>
      <c r="B1943" s="111"/>
      <c r="C1943" s="113"/>
      <c r="D1943" s="113"/>
    </row>
    <row r="1944">
      <c r="A1944" s="111"/>
      <c r="B1944" s="111"/>
      <c r="C1944" s="113"/>
      <c r="D1944" s="113"/>
    </row>
    <row r="1945">
      <c r="A1945" s="111"/>
      <c r="B1945" s="111"/>
      <c r="C1945" s="113"/>
      <c r="D1945" s="113"/>
    </row>
    <row r="1946">
      <c r="A1946" s="111"/>
      <c r="B1946" s="111"/>
      <c r="C1946" s="113"/>
      <c r="D1946" s="113"/>
    </row>
    <row r="1947">
      <c r="A1947" s="111"/>
      <c r="B1947" s="111"/>
      <c r="C1947" s="113"/>
      <c r="D1947" s="113"/>
    </row>
    <row r="1948">
      <c r="A1948" s="111"/>
      <c r="B1948" s="111"/>
      <c r="C1948" s="113"/>
      <c r="D1948" s="113"/>
    </row>
    <row r="1949">
      <c r="A1949" s="111"/>
      <c r="B1949" s="111"/>
      <c r="C1949" s="113"/>
      <c r="D1949" s="113"/>
    </row>
    <row r="1950">
      <c r="A1950" s="111"/>
      <c r="B1950" s="111"/>
      <c r="C1950" s="113"/>
      <c r="D1950" s="113"/>
    </row>
    <row r="1951">
      <c r="A1951" s="111"/>
      <c r="B1951" s="111"/>
      <c r="C1951" s="113"/>
      <c r="D1951" s="113"/>
    </row>
    <row r="1952">
      <c r="A1952" s="111"/>
      <c r="B1952" s="111"/>
      <c r="C1952" s="113"/>
      <c r="D1952" s="113"/>
    </row>
    <row r="1953">
      <c r="A1953" s="111"/>
      <c r="B1953" s="111"/>
      <c r="C1953" s="113"/>
      <c r="D1953" s="113"/>
    </row>
    <row r="1954">
      <c r="A1954" s="111"/>
      <c r="B1954" s="111"/>
      <c r="C1954" s="113"/>
      <c r="D1954" s="113"/>
    </row>
    <row r="1955">
      <c r="A1955" s="111"/>
      <c r="B1955" s="111"/>
      <c r="C1955" s="113"/>
      <c r="D1955" s="113"/>
    </row>
    <row r="1956">
      <c r="A1956" s="111"/>
      <c r="B1956" s="111"/>
      <c r="C1956" s="113"/>
      <c r="D1956" s="113"/>
    </row>
    <row r="1957">
      <c r="A1957" s="111"/>
      <c r="B1957" s="111"/>
      <c r="C1957" s="113"/>
      <c r="D1957" s="113"/>
    </row>
    <row r="1958">
      <c r="A1958" s="111"/>
      <c r="B1958" s="111"/>
      <c r="C1958" s="113"/>
      <c r="D1958" s="113"/>
    </row>
    <row r="1959">
      <c r="A1959" s="111"/>
      <c r="B1959" s="111"/>
      <c r="C1959" s="113"/>
      <c r="D1959" s="113"/>
    </row>
    <row r="1960">
      <c r="A1960" s="111"/>
      <c r="B1960" s="111"/>
      <c r="C1960" s="113"/>
      <c r="D1960" s="113"/>
    </row>
    <row r="1961">
      <c r="A1961" s="111"/>
      <c r="B1961" s="111"/>
      <c r="C1961" s="113"/>
      <c r="D1961" s="113"/>
    </row>
    <row r="1962">
      <c r="A1962" s="111"/>
      <c r="B1962" s="111"/>
      <c r="C1962" s="113"/>
      <c r="D1962" s="113"/>
    </row>
    <row r="1963">
      <c r="A1963" s="111"/>
      <c r="B1963" s="111"/>
      <c r="C1963" s="113"/>
      <c r="D1963" s="113"/>
    </row>
    <row r="1964">
      <c r="A1964" s="111"/>
      <c r="B1964" s="111"/>
      <c r="C1964" s="113"/>
      <c r="D1964" s="113"/>
    </row>
    <row r="1965">
      <c r="A1965" s="111"/>
      <c r="B1965" s="111"/>
      <c r="C1965" s="113"/>
      <c r="D1965" s="113"/>
    </row>
    <row r="1966">
      <c r="A1966" s="111"/>
      <c r="B1966" s="111"/>
      <c r="C1966" s="113"/>
      <c r="D1966" s="113"/>
    </row>
    <row r="1967">
      <c r="A1967" s="111"/>
      <c r="B1967" s="111"/>
      <c r="C1967" s="113"/>
      <c r="D1967" s="113"/>
    </row>
    <row r="1968">
      <c r="A1968" s="111"/>
      <c r="B1968" s="111"/>
      <c r="C1968" s="113"/>
      <c r="D1968" s="113"/>
    </row>
    <row r="1969">
      <c r="A1969" s="111"/>
      <c r="B1969" s="111"/>
      <c r="C1969" s="113"/>
      <c r="D1969" s="113"/>
    </row>
    <row r="1970">
      <c r="A1970" s="111"/>
      <c r="B1970" s="111"/>
      <c r="C1970" s="113"/>
      <c r="D1970" s="113"/>
    </row>
    <row r="1971">
      <c r="A1971" s="111"/>
      <c r="B1971" s="111"/>
      <c r="C1971" s="113"/>
      <c r="D1971" s="113"/>
    </row>
    <row r="1972">
      <c r="A1972" s="111"/>
      <c r="B1972" s="111"/>
      <c r="C1972" s="113"/>
      <c r="D1972" s="113"/>
    </row>
    <row r="1973">
      <c r="A1973" s="111"/>
      <c r="B1973" s="111"/>
      <c r="C1973" s="113"/>
      <c r="D1973" s="113"/>
    </row>
    <row r="1974">
      <c r="A1974" s="111"/>
      <c r="B1974" s="111"/>
      <c r="C1974" s="113"/>
      <c r="D1974" s="113"/>
    </row>
    <row r="1975">
      <c r="A1975" s="111"/>
      <c r="B1975" s="111"/>
      <c r="C1975" s="113"/>
      <c r="D1975" s="113"/>
    </row>
    <row r="1976">
      <c r="A1976" s="111"/>
      <c r="B1976" s="111"/>
      <c r="C1976" s="113"/>
      <c r="D1976" s="113"/>
    </row>
    <row r="1977">
      <c r="A1977" s="111"/>
      <c r="B1977" s="111"/>
      <c r="C1977" s="113"/>
      <c r="D1977" s="113"/>
    </row>
    <row r="1978">
      <c r="A1978" s="111"/>
      <c r="B1978" s="111"/>
      <c r="C1978" s="113"/>
      <c r="D1978" s="113"/>
    </row>
    <row r="1979">
      <c r="A1979" s="111"/>
      <c r="B1979" s="111"/>
      <c r="C1979" s="113"/>
      <c r="D1979" s="113"/>
    </row>
    <row r="1980">
      <c r="A1980" s="111"/>
      <c r="B1980" s="111"/>
      <c r="C1980" s="113"/>
      <c r="D1980" s="113"/>
    </row>
    <row r="1981">
      <c r="A1981" s="111"/>
      <c r="B1981" s="111"/>
      <c r="C1981" s="113"/>
      <c r="D1981" s="113"/>
    </row>
    <row r="1982">
      <c r="A1982" s="111"/>
      <c r="B1982" s="111"/>
      <c r="C1982" s="113"/>
      <c r="D1982" s="113"/>
    </row>
    <row r="1983">
      <c r="A1983" s="111"/>
      <c r="B1983" s="111"/>
      <c r="C1983" s="113"/>
      <c r="D1983" s="113"/>
    </row>
    <row r="1984">
      <c r="A1984" s="111"/>
      <c r="B1984" s="111"/>
      <c r="C1984" s="113"/>
      <c r="D1984" s="113"/>
    </row>
    <row r="1985">
      <c r="A1985" s="111"/>
      <c r="B1985" s="111"/>
      <c r="C1985" s="113"/>
      <c r="D1985" s="113"/>
    </row>
    <row r="1986">
      <c r="A1986" s="111"/>
      <c r="B1986" s="111"/>
      <c r="C1986" s="113"/>
      <c r="D1986" s="113"/>
    </row>
    <row r="1987">
      <c r="A1987" s="111"/>
      <c r="B1987" s="111"/>
      <c r="C1987" s="113"/>
      <c r="D1987" s="113"/>
    </row>
    <row r="1988">
      <c r="A1988" s="111"/>
      <c r="B1988" s="111"/>
      <c r="C1988" s="113"/>
      <c r="D1988" s="113"/>
    </row>
    <row r="1989">
      <c r="A1989" s="111"/>
      <c r="B1989" s="111"/>
      <c r="C1989" s="113"/>
      <c r="D1989" s="113"/>
    </row>
    <row r="1990">
      <c r="A1990" s="111"/>
      <c r="B1990" s="111"/>
      <c r="C1990" s="113"/>
      <c r="D1990" s="113"/>
    </row>
    <row r="1991">
      <c r="A1991" s="111"/>
      <c r="B1991" s="111"/>
      <c r="C1991" s="113"/>
      <c r="D1991" s="113"/>
    </row>
    <row r="1992">
      <c r="A1992" s="111"/>
      <c r="B1992" s="111"/>
      <c r="C1992" s="113"/>
      <c r="D1992" s="113"/>
    </row>
    <row r="1993">
      <c r="A1993" s="111"/>
      <c r="B1993" s="111"/>
      <c r="C1993" s="113"/>
      <c r="D1993" s="113"/>
    </row>
    <row r="1994">
      <c r="A1994" s="111"/>
      <c r="B1994" s="111"/>
      <c r="C1994" s="113"/>
      <c r="D1994" s="113"/>
    </row>
    <row r="1995">
      <c r="A1995" s="111"/>
      <c r="B1995" s="111"/>
      <c r="C1995" s="113"/>
      <c r="D1995" s="113"/>
    </row>
    <row r="1996">
      <c r="A1996" s="111"/>
      <c r="B1996" s="111"/>
      <c r="C1996" s="113"/>
      <c r="D1996" s="113"/>
    </row>
    <row r="1997">
      <c r="A1997" s="111"/>
      <c r="B1997" s="111"/>
      <c r="C1997" s="113"/>
      <c r="D1997" s="113"/>
    </row>
    <row r="1998">
      <c r="A1998" s="111"/>
      <c r="B1998" s="111"/>
      <c r="C1998" s="113"/>
      <c r="D1998" s="113"/>
    </row>
    <row r="1999">
      <c r="A1999" s="111"/>
      <c r="B1999" s="111"/>
      <c r="C1999" s="113"/>
      <c r="D1999" s="113"/>
    </row>
    <row r="2000">
      <c r="A2000" s="111"/>
      <c r="B2000" s="111"/>
      <c r="C2000" s="113"/>
      <c r="D2000" s="113"/>
    </row>
    <row r="2001">
      <c r="A2001" s="111"/>
      <c r="B2001" s="111"/>
      <c r="C2001" s="113"/>
      <c r="D2001" s="113"/>
    </row>
    <row r="2002">
      <c r="A2002" s="111"/>
      <c r="B2002" s="111"/>
      <c r="C2002" s="113"/>
      <c r="D2002" s="113"/>
    </row>
    <row r="2003">
      <c r="A2003" s="111"/>
      <c r="B2003" s="111"/>
      <c r="C2003" s="113"/>
      <c r="D2003" s="113"/>
    </row>
    <row r="2004">
      <c r="A2004" s="111"/>
      <c r="B2004" s="111"/>
      <c r="C2004" s="113"/>
      <c r="D2004" s="113"/>
    </row>
    <row r="2005">
      <c r="A2005" s="111"/>
      <c r="B2005" s="111"/>
      <c r="C2005" s="113"/>
      <c r="D2005" s="113"/>
    </row>
    <row r="2006">
      <c r="A2006" s="111"/>
      <c r="B2006" s="111"/>
      <c r="C2006" s="113"/>
      <c r="D2006" s="113"/>
    </row>
    <row r="2007">
      <c r="A2007" s="111"/>
      <c r="B2007" s="111"/>
      <c r="C2007" s="113"/>
      <c r="D2007" s="113"/>
    </row>
    <row r="2008">
      <c r="A2008" s="111"/>
      <c r="B2008" s="111"/>
      <c r="C2008" s="113"/>
      <c r="D2008" s="113"/>
    </row>
    <row r="2009">
      <c r="A2009" s="111"/>
      <c r="B2009" s="111"/>
      <c r="C2009" s="113"/>
      <c r="D2009" s="113"/>
    </row>
    <row r="2010">
      <c r="A2010" s="111"/>
      <c r="B2010" s="111"/>
      <c r="C2010" s="113"/>
      <c r="D2010" s="113"/>
    </row>
    <row r="2011">
      <c r="A2011" s="111"/>
      <c r="B2011" s="111"/>
      <c r="C2011" s="113"/>
      <c r="D2011" s="113"/>
    </row>
    <row r="2012">
      <c r="A2012" s="111"/>
      <c r="B2012" s="111"/>
      <c r="C2012" s="113"/>
      <c r="D2012" s="113"/>
    </row>
    <row r="2013">
      <c r="A2013" s="111"/>
      <c r="B2013" s="111"/>
      <c r="C2013" s="113"/>
      <c r="D2013" s="113"/>
    </row>
    <row r="2014">
      <c r="A2014" s="111"/>
      <c r="B2014" s="111"/>
      <c r="C2014" s="113"/>
      <c r="D2014" s="113"/>
    </row>
    <row r="2015">
      <c r="A2015" s="111"/>
      <c r="B2015" s="111"/>
      <c r="C2015" s="113"/>
      <c r="D2015" s="113"/>
    </row>
    <row r="2016">
      <c r="A2016" s="111"/>
      <c r="B2016" s="111"/>
      <c r="C2016" s="113"/>
      <c r="D2016" s="113"/>
    </row>
    <row r="2017">
      <c r="A2017" s="111"/>
      <c r="B2017" s="111"/>
      <c r="C2017" s="113"/>
      <c r="D2017" s="113"/>
    </row>
    <row r="2018">
      <c r="A2018" s="111"/>
      <c r="B2018" s="111"/>
      <c r="C2018" s="113"/>
      <c r="D2018" s="113"/>
    </row>
    <row r="2019">
      <c r="A2019" s="111"/>
      <c r="B2019" s="111"/>
      <c r="C2019" s="113"/>
      <c r="D2019" s="113"/>
    </row>
    <row r="2020">
      <c r="A2020" s="111"/>
      <c r="B2020" s="111"/>
      <c r="C2020" s="113"/>
      <c r="D2020" s="113"/>
    </row>
    <row r="2021">
      <c r="A2021" s="111"/>
      <c r="B2021" s="111"/>
      <c r="C2021" s="113"/>
      <c r="D2021" s="113"/>
    </row>
    <row r="2022">
      <c r="A2022" s="111"/>
      <c r="B2022" s="111"/>
      <c r="C2022" s="113"/>
      <c r="D2022" s="113"/>
    </row>
    <row r="2023">
      <c r="A2023" s="111"/>
      <c r="B2023" s="111"/>
      <c r="C2023" s="113"/>
      <c r="D2023" s="113"/>
    </row>
    <row r="2024">
      <c r="A2024" s="111"/>
      <c r="B2024" s="111"/>
      <c r="C2024" s="113"/>
      <c r="D2024" s="113"/>
    </row>
    <row r="2025">
      <c r="A2025" s="111"/>
      <c r="B2025" s="111"/>
      <c r="C2025" s="113"/>
      <c r="D2025" s="113"/>
    </row>
    <row r="2026">
      <c r="A2026" s="111"/>
      <c r="B2026" s="111"/>
      <c r="C2026" s="113"/>
      <c r="D2026" s="113"/>
    </row>
    <row r="2027">
      <c r="A2027" s="111"/>
      <c r="B2027" s="111"/>
      <c r="C2027" s="113"/>
      <c r="D2027" s="113"/>
    </row>
    <row r="2028">
      <c r="A2028" s="111"/>
      <c r="B2028" s="111"/>
      <c r="C2028" s="113"/>
      <c r="D2028" s="113"/>
    </row>
    <row r="2029">
      <c r="A2029" s="111"/>
      <c r="B2029" s="111"/>
      <c r="C2029" s="113"/>
      <c r="D2029" s="113"/>
    </row>
    <row r="2030">
      <c r="A2030" s="111"/>
      <c r="B2030" s="111"/>
      <c r="C2030" s="113"/>
      <c r="D2030" s="113"/>
    </row>
    <row r="2031">
      <c r="A2031" s="111"/>
      <c r="B2031" s="111"/>
      <c r="C2031" s="113"/>
      <c r="D2031" s="113"/>
    </row>
    <row r="2032">
      <c r="A2032" s="111"/>
      <c r="B2032" s="111"/>
      <c r="C2032" s="113"/>
      <c r="D2032" s="113"/>
    </row>
    <row r="2033">
      <c r="A2033" s="111"/>
      <c r="B2033" s="111"/>
      <c r="C2033" s="113"/>
      <c r="D2033" s="113"/>
    </row>
    <row r="2034">
      <c r="A2034" s="111"/>
      <c r="B2034" s="111"/>
      <c r="C2034" s="113"/>
      <c r="D2034" s="113"/>
    </row>
    <row r="2035">
      <c r="A2035" s="111"/>
      <c r="B2035" s="111"/>
      <c r="C2035" s="113"/>
      <c r="D2035" s="113"/>
    </row>
    <row r="2036">
      <c r="A2036" s="111"/>
      <c r="B2036" s="111"/>
      <c r="C2036" s="113"/>
      <c r="D2036" s="113"/>
    </row>
    <row r="2037">
      <c r="A2037" s="111"/>
      <c r="B2037" s="111"/>
      <c r="C2037" s="113"/>
      <c r="D2037" s="113"/>
    </row>
    <row r="2038">
      <c r="A2038" s="111"/>
      <c r="B2038" s="111"/>
      <c r="C2038" s="113"/>
      <c r="D2038" s="113"/>
    </row>
    <row r="2039">
      <c r="A2039" s="111"/>
      <c r="B2039" s="111"/>
      <c r="C2039" s="113"/>
      <c r="D2039" s="113"/>
    </row>
    <row r="2040">
      <c r="A2040" s="111"/>
      <c r="B2040" s="111"/>
      <c r="C2040" s="113"/>
      <c r="D2040" s="113"/>
    </row>
    <row r="2041">
      <c r="A2041" s="111"/>
      <c r="B2041" s="111"/>
      <c r="C2041" s="113"/>
      <c r="D2041" s="113"/>
    </row>
    <row r="2042">
      <c r="A2042" s="111"/>
      <c r="B2042" s="111"/>
      <c r="C2042" s="113"/>
      <c r="D2042" s="113"/>
    </row>
    <row r="2043">
      <c r="A2043" s="111"/>
      <c r="B2043" s="111"/>
      <c r="C2043" s="113"/>
      <c r="D2043" s="113"/>
    </row>
    <row r="2044">
      <c r="A2044" s="111"/>
      <c r="B2044" s="111"/>
      <c r="C2044" s="113"/>
      <c r="D2044" s="113"/>
    </row>
    <row r="2045">
      <c r="A2045" s="111"/>
      <c r="B2045" s="111"/>
      <c r="C2045" s="113"/>
      <c r="D2045" s="113"/>
    </row>
    <row r="2046">
      <c r="A2046" s="111"/>
      <c r="B2046" s="111"/>
      <c r="C2046" s="113"/>
      <c r="D2046" s="113"/>
    </row>
    <row r="2047">
      <c r="A2047" s="111"/>
      <c r="B2047" s="111"/>
      <c r="C2047" s="113"/>
      <c r="D2047" s="113"/>
    </row>
    <row r="2048">
      <c r="A2048" s="111"/>
      <c r="B2048" s="111"/>
      <c r="C2048" s="113"/>
      <c r="D2048" s="113"/>
    </row>
    <row r="2049">
      <c r="A2049" s="111"/>
      <c r="B2049" s="111"/>
      <c r="C2049" s="113"/>
      <c r="D2049" s="113"/>
    </row>
    <row r="2050">
      <c r="A2050" s="111"/>
      <c r="B2050" s="111"/>
      <c r="C2050" s="113"/>
      <c r="D2050" s="113"/>
    </row>
    <row r="2051">
      <c r="A2051" s="111"/>
      <c r="B2051" s="111"/>
      <c r="C2051" s="113"/>
      <c r="D2051" s="113"/>
    </row>
    <row r="2052">
      <c r="A2052" s="111"/>
      <c r="B2052" s="111"/>
      <c r="C2052" s="113"/>
      <c r="D2052" s="113"/>
    </row>
    <row r="2053">
      <c r="A2053" s="111"/>
      <c r="B2053" s="111"/>
      <c r="C2053" s="113"/>
      <c r="D2053" s="113"/>
    </row>
    <row r="2054">
      <c r="A2054" s="111"/>
      <c r="B2054" s="111"/>
      <c r="C2054" s="113"/>
      <c r="D2054" s="113"/>
    </row>
    <row r="2055">
      <c r="A2055" s="111"/>
      <c r="B2055" s="111"/>
      <c r="C2055" s="113"/>
      <c r="D2055" s="113"/>
    </row>
    <row r="2056">
      <c r="A2056" s="111"/>
      <c r="B2056" s="111"/>
      <c r="C2056" s="113"/>
      <c r="D2056" s="113"/>
    </row>
    <row r="2057">
      <c r="A2057" s="111"/>
      <c r="B2057" s="111"/>
      <c r="C2057" s="113"/>
      <c r="D2057" s="113"/>
    </row>
    <row r="2058">
      <c r="A2058" s="111"/>
      <c r="B2058" s="111"/>
      <c r="C2058" s="113"/>
      <c r="D2058" s="113"/>
    </row>
    <row r="2059">
      <c r="A2059" s="111"/>
      <c r="B2059" s="111"/>
      <c r="C2059" s="113"/>
      <c r="D2059" s="113"/>
    </row>
    <row r="2060">
      <c r="A2060" s="111"/>
      <c r="B2060" s="111"/>
      <c r="C2060" s="113"/>
      <c r="D2060" s="113"/>
    </row>
    <row r="2061">
      <c r="A2061" s="111"/>
      <c r="B2061" s="111"/>
      <c r="C2061" s="113"/>
      <c r="D2061" s="113"/>
    </row>
    <row r="2062">
      <c r="A2062" s="111"/>
      <c r="B2062" s="111"/>
      <c r="C2062" s="113"/>
      <c r="D2062" s="113"/>
    </row>
    <row r="2063">
      <c r="A2063" s="111"/>
      <c r="B2063" s="111"/>
      <c r="C2063" s="113"/>
      <c r="D2063" s="113"/>
    </row>
    <row r="2064">
      <c r="A2064" s="111"/>
      <c r="B2064" s="111"/>
      <c r="C2064" s="113"/>
      <c r="D2064" s="113"/>
    </row>
    <row r="2065">
      <c r="A2065" s="111"/>
      <c r="B2065" s="111"/>
      <c r="C2065" s="113"/>
      <c r="D2065" s="113"/>
    </row>
    <row r="2066">
      <c r="A2066" s="111"/>
      <c r="B2066" s="111"/>
      <c r="C2066" s="113"/>
      <c r="D2066" s="113"/>
    </row>
    <row r="2067">
      <c r="A2067" s="111"/>
      <c r="B2067" s="111"/>
      <c r="C2067" s="113"/>
      <c r="D2067" s="113"/>
    </row>
    <row r="2068">
      <c r="A2068" s="111"/>
      <c r="B2068" s="111"/>
      <c r="C2068" s="113"/>
      <c r="D2068" s="113"/>
    </row>
    <row r="2069">
      <c r="A2069" s="111"/>
      <c r="B2069" s="111"/>
      <c r="C2069" s="113"/>
      <c r="D2069" s="113"/>
    </row>
    <row r="2070">
      <c r="A2070" s="111"/>
      <c r="B2070" s="111"/>
      <c r="C2070" s="113"/>
      <c r="D2070" s="113"/>
    </row>
    <row r="2071">
      <c r="A2071" s="111"/>
      <c r="B2071" s="111"/>
      <c r="C2071" s="113"/>
      <c r="D2071" s="113"/>
    </row>
    <row r="2072">
      <c r="A2072" s="111"/>
      <c r="B2072" s="111"/>
      <c r="C2072" s="113"/>
      <c r="D2072" s="113"/>
    </row>
    <row r="2073">
      <c r="A2073" s="111"/>
      <c r="B2073" s="111"/>
      <c r="C2073" s="113"/>
      <c r="D2073" s="113"/>
    </row>
    <row r="2074">
      <c r="A2074" s="111"/>
      <c r="B2074" s="111"/>
      <c r="C2074" s="113"/>
      <c r="D2074" s="113"/>
    </row>
    <row r="2075">
      <c r="A2075" s="111"/>
      <c r="B2075" s="111"/>
      <c r="C2075" s="113"/>
      <c r="D2075" s="113"/>
    </row>
    <row r="2076">
      <c r="A2076" s="111"/>
      <c r="B2076" s="111"/>
      <c r="C2076" s="113"/>
      <c r="D2076" s="113"/>
    </row>
    <row r="2077">
      <c r="A2077" s="111"/>
      <c r="B2077" s="111"/>
      <c r="C2077" s="113"/>
      <c r="D2077" s="113"/>
    </row>
    <row r="2078">
      <c r="A2078" s="111"/>
      <c r="B2078" s="111"/>
      <c r="C2078" s="113"/>
      <c r="D2078" s="113"/>
    </row>
    <row r="2079">
      <c r="A2079" s="111"/>
      <c r="B2079" s="111"/>
      <c r="C2079" s="113"/>
      <c r="D2079" s="113"/>
    </row>
    <row r="2080">
      <c r="A2080" s="111"/>
      <c r="B2080" s="111"/>
      <c r="C2080" s="113"/>
      <c r="D2080" s="113"/>
    </row>
    <row r="2081">
      <c r="A2081" s="111"/>
      <c r="B2081" s="111"/>
      <c r="C2081" s="113"/>
      <c r="D2081" s="113"/>
    </row>
    <row r="2082">
      <c r="A2082" s="111"/>
      <c r="B2082" s="111"/>
      <c r="C2082" s="113"/>
      <c r="D2082" s="113"/>
    </row>
    <row r="2083">
      <c r="A2083" s="111"/>
      <c r="B2083" s="111"/>
      <c r="C2083" s="113"/>
      <c r="D2083" s="113"/>
    </row>
    <row r="2084">
      <c r="A2084" s="111"/>
      <c r="B2084" s="111"/>
      <c r="C2084" s="113"/>
      <c r="D2084" s="113"/>
    </row>
    <row r="2085">
      <c r="A2085" s="111"/>
      <c r="B2085" s="111"/>
      <c r="C2085" s="113"/>
      <c r="D2085" s="113"/>
    </row>
    <row r="2086">
      <c r="A2086" s="111"/>
      <c r="B2086" s="111"/>
      <c r="C2086" s="113"/>
      <c r="D2086" s="113"/>
    </row>
    <row r="2087">
      <c r="A2087" s="111"/>
      <c r="B2087" s="111"/>
      <c r="C2087" s="113"/>
      <c r="D2087" s="113"/>
    </row>
    <row r="2088">
      <c r="A2088" s="111"/>
      <c r="B2088" s="111"/>
      <c r="C2088" s="113"/>
      <c r="D2088" s="113"/>
    </row>
    <row r="2089">
      <c r="A2089" s="111"/>
      <c r="B2089" s="111"/>
      <c r="C2089" s="113"/>
      <c r="D2089" s="113"/>
    </row>
    <row r="2090">
      <c r="A2090" s="111"/>
      <c r="B2090" s="111"/>
      <c r="C2090" s="113"/>
      <c r="D2090" s="113"/>
    </row>
    <row r="2091">
      <c r="A2091" s="111"/>
      <c r="B2091" s="111"/>
      <c r="C2091" s="113"/>
      <c r="D2091" s="113"/>
    </row>
    <row r="2092">
      <c r="A2092" s="111"/>
      <c r="B2092" s="111"/>
      <c r="C2092" s="113"/>
      <c r="D2092" s="113"/>
    </row>
    <row r="2093">
      <c r="A2093" s="111"/>
      <c r="B2093" s="111"/>
      <c r="C2093" s="113"/>
      <c r="D2093" s="113"/>
    </row>
    <row r="2094">
      <c r="A2094" s="111"/>
      <c r="B2094" s="111"/>
      <c r="C2094" s="113"/>
      <c r="D2094" s="113"/>
    </row>
    <row r="2095">
      <c r="A2095" s="111"/>
      <c r="B2095" s="111"/>
      <c r="C2095" s="113"/>
      <c r="D2095" s="113"/>
    </row>
    <row r="2096">
      <c r="A2096" s="111"/>
      <c r="B2096" s="111"/>
      <c r="C2096" s="113"/>
      <c r="D2096" s="113"/>
    </row>
    <row r="2097">
      <c r="A2097" s="111"/>
      <c r="B2097" s="111"/>
      <c r="C2097" s="113"/>
      <c r="D2097" s="113"/>
    </row>
    <row r="2098">
      <c r="A2098" s="111"/>
      <c r="B2098" s="111"/>
      <c r="C2098" s="113"/>
      <c r="D2098" s="113"/>
    </row>
    <row r="2099">
      <c r="A2099" s="111"/>
      <c r="B2099" s="111"/>
      <c r="C2099" s="113"/>
      <c r="D2099" s="113"/>
    </row>
    <row r="2100">
      <c r="A2100" s="111"/>
      <c r="B2100" s="111"/>
      <c r="C2100" s="113"/>
      <c r="D2100" s="113"/>
    </row>
    <row r="2101">
      <c r="A2101" s="111"/>
      <c r="B2101" s="111"/>
      <c r="C2101" s="113"/>
      <c r="D2101" s="113"/>
    </row>
  </sheetData>
  <conditionalFormatting sqref="D77:D111 C81:C111">
    <cfRule type="colorScale" priority="1">
      <colorScale>
        <cfvo type="formula" val="-50%"/>
        <cfvo type="formula" val="0"/>
        <cfvo type="formula" val="100%"/>
        <color rgb="FFE67C73"/>
        <color rgb="FFFFFFFF"/>
        <color rgb="FF57BB8A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6.75"/>
  </cols>
  <sheetData>
    <row r="1" ht="72.0" customHeight="1">
      <c r="A1" s="2"/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4" t="s">
        <v>7</v>
      </c>
      <c r="I1" s="2" t="s">
        <v>8</v>
      </c>
      <c r="J1" s="4" t="s">
        <v>9</v>
      </c>
      <c r="K1" s="5" t="s">
        <v>10</v>
      </c>
      <c r="L1" s="3" t="s">
        <v>11</v>
      </c>
      <c r="M1" s="6" t="s">
        <v>12</v>
      </c>
      <c r="N1" s="6" t="s">
        <v>13</v>
      </c>
      <c r="O1" s="7" t="s">
        <v>14</v>
      </c>
      <c r="P1" s="6" t="s">
        <v>15</v>
      </c>
      <c r="Q1" s="8" t="s">
        <v>16</v>
      </c>
      <c r="R1" s="8" t="s">
        <v>17</v>
      </c>
      <c r="S1" s="7" t="s">
        <v>18</v>
      </c>
      <c r="T1" s="9" t="s">
        <v>19</v>
      </c>
      <c r="U1" s="10" t="s">
        <v>20</v>
      </c>
      <c r="V1" s="7" t="s">
        <v>21</v>
      </c>
      <c r="W1" s="7" t="s">
        <v>22</v>
      </c>
      <c r="X1" s="18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2"/>
    </row>
    <row r="2">
      <c r="A2" s="15" t="s">
        <v>29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2"/>
      <c r="W2" s="12"/>
      <c r="X2" s="12"/>
      <c r="Y2" s="12"/>
      <c r="Z2" s="12"/>
      <c r="AA2" s="12"/>
      <c r="AB2" s="12"/>
      <c r="AC2" s="12"/>
      <c r="AD2" s="12"/>
    </row>
    <row r="3">
      <c r="A3" s="15" t="s">
        <v>30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2"/>
      <c r="W3" s="12"/>
      <c r="X3" s="12"/>
      <c r="Y3" s="12"/>
      <c r="Z3" s="12"/>
      <c r="AA3" s="12"/>
      <c r="AB3" s="12"/>
      <c r="AC3" s="12"/>
      <c r="AD3" s="12"/>
    </row>
    <row r="4">
      <c r="A4" s="15" t="s">
        <v>31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2"/>
      <c r="W4" s="12"/>
      <c r="X4" s="12"/>
      <c r="Y4" s="12"/>
      <c r="Z4" s="12"/>
      <c r="AA4" s="12"/>
      <c r="AB4" s="12"/>
      <c r="AC4" s="12"/>
      <c r="AD4" s="12"/>
    </row>
    <row r="5">
      <c r="A5" s="15" t="s">
        <v>32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2"/>
      <c r="W5" s="12"/>
      <c r="X5" s="12"/>
      <c r="Y5" s="12"/>
      <c r="Z5" s="12"/>
      <c r="AA5" s="12"/>
      <c r="AB5" s="12"/>
      <c r="AC5" s="12"/>
      <c r="AD5" s="12"/>
    </row>
    <row r="6">
      <c r="A6" s="15" t="s">
        <v>33</v>
      </c>
      <c r="B6" s="14" t="str">
        <f>iferror(average('Revenue Growth YoY'!B3:B6),"")</f>
        <v/>
      </c>
      <c r="C6" s="14" t="str">
        <f>iferror(average('Revenue Growth YoY'!C3:C6),"")</f>
        <v/>
      </c>
      <c r="D6" s="14"/>
      <c r="E6" s="14" t="str">
        <f>iferror(average('Revenue Growth YoY'!E3:E6),"")</f>
        <v/>
      </c>
      <c r="F6" s="14" t="str">
        <f>iferror(average('Revenue Growth YoY'!F3:F6),"")</f>
        <v/>
      </c>
      <c r="G6" s="14" t="str">
        <f>iferror(average('Revenue Growth YoY'!G3:G6),"")</f>
        <v/>
      </c>
      <c r="H6" s="14" t="str">
        <f>iferror(average('Revenue Growth YoY'!H3:H6),"")</f>
        <v/>
      </c>
      <c r="I6" s="14" t="str">
        <f>iferror(average('Revenue Growth YoY'!I3:I6),"")</f>
        <v/>
      </c>
      <c r="J6" s="14" t="str">
        <f>iferror(average('Revenue Growth YoY'!J3:J6),"")</f>
        <v/>
      </c>
      <c r="K6" s="14" t="str">
        <f>iferror(average('Revenue Growth YoY'!K3:K6),"")</f>
        <v/>
      </c>
      <c r="L6" s="14" t="str">
        <f>iferror(average('Revenue Growth YoY'!L3:L6),"")</f>
        <v/>
      </c>
      <c r="M6" s="14" t="str">
        <f>iferror(average('Revenue Growth YoY'!M3:M6),"")</f>
        <v/>
      </c>
      <c r="N6" s="14" t="str">
        <f>iferror(average('Revenue Growth YoY'!N3:N6),"")</f>
        <v/>
      </c>
      <c r="O6" s="14" t="str">
        <f>iferror(average('Revenue Growth YoY'!O3:O6),"")</f>
        <v/>
      </c>
      <c r="P6" s="14" t="str">
        <f>iferror(average('Revenue Growth YoY'!P3:P6),"")</f>
        <v/>
      </c>
      <c r="Q6" s="14" t="str">
        <f>iferror(average('Revenue Growth YoY'!Q3:Q6),"")</f>
        <v/>
      </c>
      <c r="R6" s="14"/>
      <c r="S6" s="14" t="str">
        <f>iferror(average('Revenue Growth YoY'!S3:S6),"")</f>
        <v/>
      </c>
      <c r="T6" s="14" t="str">
        <f>iferror(average('Revenue Growth YoY'!T3:T6),"")</f>
        <v/>
      </c>
      <c r="U6" s="14" t="str">
        <f>iferror(average('Revenue Growth YoY'!U3:U6),"")</f>
        <v/>
      </c>
      <c r="V6" s="14" t="str">
        <f>iferror(average('Revenue Growth YoY'!V3:V6),"")</f>
        <v/>
      </c>
      <c r="W6" s="14" t="str">
        <f>iferror(average('Revenue Growth YoY'!W3:W6),"")</f>
        <v/>
      </c>
      <c r="X6" s="12"/>
      <c r="Y6" s="12"/>
      <c r="Z6" s="12"/>
      <c r="AA6" s="12"/>
      <c r="AB6" s="12"/>
      <c r="AC6" s="12"/>
      <c r="AD6" s="12"/>
    </row>
    <row r="7">
      <c r="A7" s="15" t="s">
        <v>34</v>
      </c>
      <c r="B7" s="14" t="str">
        <f>iferror(average('Revenue Growth YoY'!B4:B7),"")</f>
        <v/>
      </c>
      <c r="C7" s="14" t="str">
        <f>iferror(average('Revenue Growth YoY'!C4:C7),"")</f>
        <v/>
      </c>
      <c r="D7" s="14"/>
      <c r="E7" s="14" t="str">
        <f>iferror(average('Revenue Growth YoY'!E4:E7),"")</f>
        <v/>
      </c>
      <c r="F7" s="14" t="str">
        <f>iferror(average('Revenue Growth YoY'!F4:F7),"")</f>
        <v/>
      </c>
      <c r="G7" s="14" t="str">
        <f>iferror(average('Revenue Growth YoY'!G4:G7),"")</f>
        <v/>
      </c>
      <c r="H7" s="14" t="str">
        <f>iferror(average('Revenue Growth YoY'!H4:H7),"")</f>
        <v/>
      </c>
      <c r="I7" s="14" t="str">
        <f>iferror(average('Revenue Growth YoY'!I4:I7),"")</f>
        <v/>
      </c>
      <c r="J7" s="14" t="str">
        <f>iferror(average('Revenue Growth YoY'!J4:J7),"")</f>
        <v/>
      </c>
      <c r="K7" s="14" t="str">
        <f>iferror(average('Revenue Growth YoY'!K4:K7),"")</f>
        <v/>
      </c>
      <c r="L7" s="14" t="str">
        <f>iferror(average('Revenue Growth YoY'!L4:L7),"")</f>
        <v/>
      </c>
      <c r="M7" s="14" t="str">
        <f>iferror(average('Revenue Growth YoY'!M4:M7),"")</f>
        <v/>
      </c>
      <c r="N7" s="14" t="str">
        <f>iferror(average('Revenue Growth YoY'!N4:N7),"")</f>
        <v/>
      </c>
      <c r="O7" s="14" t="str">
        <f>iferror(average('Revenue Growth YoY'!O4:O7),"")</f>
        <v/>
      </c>
      <c r="P7" s="14" t="str">
        <f>iferror(average('Revenue Growth YoY'!P4:P7),"")</f>
        <v/>
      </c>
      <c r="Q7" s="14" t="str">
        <f>iferror(average('Revenue Growth YoY'!Q4:Q7),"")</f>
        <v/>
      </c>
      <c r="R7" s="14"/>
      <c r="S7" s="14" t="str">
        <f>iferror(average('Revenue Growth YoY'!S4:S7),"")</f>
        <v/>
      </c>
      <c r="T7" s="14" t="str">
        <f>iferror(average('Revenue Growth YoY'!T4:T7),"")</f>
        <v/>
      </c>
      <c r="U7" s="14" t="str">
        <f>iferror(average('Revenue Growth YoY'!U4:U7),"")</f>
        <v/>
      </c>
      <c r="V7" s="14" t="str">
        <f>iferror(average('Revenue Growth YoY'!V4:V7),"")</f>
        <v/>
      </c>
      <c r="W7" s="14">
        <f>iferror(average('Revenue Growth YoY'!W4:W7),"")</f>
        <v>1.28685259</v>
      </c>
      <c r="X7" s="14">
        <f>iferror(average('Revenue Growth YoY'!X4:X7),"")</f>
        <v>0.007378704182</v>
      </c>
      <c r="Y7" s="14" t="str">
        <f>iferror(average('Revenue Growth YoY'!Y4:Y7),"")</f>
        <v/>
      </c>
      <c r="Z7" s="14" t="str">
        <f>iferror(average('Revenue Growth YoY'!Z4:Z7),"")</f>
        <v/>
      </c>
      <c r="AA7" s="14" t="str">
        <f>iferror(average('Revenue Growth YoY'!AA4:AA7),"")</f>
        <v/>
      </c>
      <c r="AB7" s="14" t="str">
        <f>iferror(average('Revenue Growth YoY'!AB4:AB7),"")</f>
        <v/>
      </c>
      <c r="AC7" s="14" t="str">
        <f>iferror(average('Revenue Growth YoY'!AC4:AC7),"")</f>
        <v/>
      </c>
      <c r="AD7" s="12"/>
    </row>
    <row r="8">
      <c r="A8" s="15" t="s">
        <v>35</v>
      </c>
      <c r="B8" s="14" t="str">
        <f>iferror(average('Revenue Growth YoY'!B5:B8),"")</f>
        <v/>
      </c>
      <c r="C8" s="14" t="str">
        <f>iferror(average('Revenue Growth YoY'!C5:C8),"")</f>
        <v/>
      </c>
      <c r="D8" s="14"/>
      <c r="E8" s="14" t="str">
        <f>iferror(average('Revenue Growth YoY'!E5:E8),"")</f>
        <v/>
      </c>
      <c r="F8" s="14" t="str">
        <f>iferror(average('Revenue Growth YoY'!F5:F8),"")</f>
        <v/>
      </c>
      <c r="G8" s="14" t="str">
        <f>iferror(average('Revenue Growth YoY'!G5:G8),"")</f>
        <v/>
      </c>
      <c r="H8" s="14" t="str">
        <f>iferror(average('Revenue Growth YoY'!H5:H8),"")</f>
        <v/>
      </c>
      <c r="I8" s="14" t="str">
        <f>iferror(average('Revenue Growth YoY'!I5:I8),"")</f>
        <v/>
      </c>
      <c r="J8" s="14" t="str">
        <f>iferror(average('Revenue Growth YoY'!J5:J8),"")</f>
        <v/>
      </c>
      <c r="K8" s="14" t="str">
        <f>iferror(average('Revenue Growth YoY'!K5:K8),"")</f>
        <v/>
      </c>
      <c r="L8" s="14" t="str">
        <f>iferror(average('Revenue Growth YoY'!L5:L8),"")</f>
        <v/>
      </c>
      <c r="M8" s="14" t="str">
        <f>iferror(average('Revenue Growth YoY'!M5:M8),"")</f>
        <v/>
      </c>
      <c r="N8" s="14" t="str">
        <f>iferror(average('Revenue Growth YoY'!N5:N8),"")</f>
        <v/>
      </c>
      <c r="O8" s="14" t="str">
        <f>iferror(average('Revenue Growth YoY'!O5:O8),"")</f>
        <v/>
      </c>
      <c r="P8" s="14" t="str">
        <f>iferror(average('Revenue Growth YoY'!P5:P8),"")</f>
        <v/>
      </c>
      <c r="Q8" s="14" t="str">
        <f>iferror(average('Revenue Growth YoY'!Q5:Q8),"")</f>
        <v/>
      </c>
      <c r="R8" s="14"/>
      <c r="S8" s="14" t="str">
        <f>iferror(average('Revenue Growth YoY'!S5:S8),"")</f>
        <v/>
      </c>
      <c r="T8" s="14" t="str">
        <f>iferror(average('Revenue Growth YoY'!T5:T8),"")</f>
        <v/>
      </c>
      <c r="U8" s="14" t="str">
        <f>iferror(average('Revenue Growth YoY'!U5:U8),"")</f>
        <v/>
      </c>
      <c r="V8" s="14" t="str">
        <f>iferror(average('Revenue Growth YoY'!V5:V8),"")</f>
        <v/>
      </c>
      <c r="W8" s="14">
        <f>iferror(average('Revenue Growth YoY'!W5:W8),"")</f>
        <v>1.28685259</v>
      </c>
      <c r="X8" s="14">
        <f>iferror(average('Revenue Growth YoY'!X5:X8),"")</f>
        <v>0.007378704182</v>
      </c>
      <c r="Y8" s="14" t="str">
        <f>iferror(average('Revenue Growth YoY'!Y5:Y8),"")</f>
        <v/>
      </c>
      <c r="Z8" s="14" t="str">
        <f>iferror(average('Revenue Growth YoY'!Z5:Z8),"")</f>
        <v/>
      </c>
      <c r="AA8" s="14" t="str">
        <f>iferror(average('Revenue Growth YoY'!AA5:AA8),"")</f>
        <v/>
      </c>
      <c r="AB8" s="14" t="str">
        <f>iferror(average('Revenue Growth YoY'!AB5:AB8),"")</f>
        <v/>
      </c>
      <c r="AC8" s="14" t="str">
        <f>iferror(average('Revenue Growth YoY'!AC5:AC8),"")</f>
        <v/>
      </c>
      <c r="AD8" s="12"/>
    </row>
    <row r="9">
      <c r="A9" s="15" t="s">
        <v>36</v>
      </c>
      <c r="B9" s="14" t="str">
        <f>iferror(average('Revenue Growth YoY'!B6:B9),"")</f>
        <v/>
      </c>
      <c r="C9" s="14" t="str">
        <f>iferror(average('Revenue Growth YoY'!C6:C9),"")</f>
        <v/>
      </c>
      <c r="D9" s="14"/>
      <c r="E9" s="14" t="str">
        <f>iferror(average('Revenue Growth YoY'!E6:E9),"")</f>
        <v/>
      </c>
      <c r="F9" s="14" t="str">
        <f>iferror(average('Revenue Growth YoY'!F6:F9),"")</f>
        <v/>
      </c>
      <c r="G9" s="14" t="str">
        <f>iferror(average('Revenue Growth YoY'!G6:G9),"")</f>
        <v/>
      </c>
      <c r="H9" s="14" t="str">
        <f>iferror(average('Revenue Growth YoY'!H6:H9),"")</f>
        <v/>
      </c>
      <c r="I9" s="14" t="str">
        <f>iferror(average('Revenue Growth YoY'!I6:I9),"")</f>
        <v/>
      </c>
      <c r="J9" s="14" t="str">
        <f>iferror(average('Revenue Growth YoY'!J6:J9),"")</f>
        <v/>
      </c>
      <c r="K9" s="14" t="str">
        <f>iferror(average('Revenue Growth YoY'!K6:K9),"")</f>
        <v/>
      </c>
      <c r="L9" s="14" t="str">
        <f>iferror(average('Revenue Growth YoY'!L6:L9),"")</f>
        <v/>
      </c>
      <c r="M9" s="14" t="str">
        <f>iferror(average('Revenue Growth YoY'!M6:M9),"")</f>
        <v/>
      </c>
      <c r="N9" s="14" t="str">
        <f>iferror(average('Revenue Growth YoY'!N6:N9),"")</f>
        <v/>
      </c>
      <c r="O9" s="14" t="str">
        <f>iferror(average('Revenue Growth YoY'!O6:O9),"")</f>
        <v/>
      </c>
      <c r="P9" s="14" t="str">
        <f>iferror(average('Revenue Growth YoY'!P6:P9),"")</f>
        <v/>
      </c>
      <c r="Q9" s="14" t="str">
        <f>iferror(average('Revenue Growth YoY'!Q6:Q9),"")</f>
        <v/>
      </c>
      <c r="R9" s="14"/>
      <c r="S9" s="14" t="str">
        <f>iferror(average('Revenue Growth YoY'!S6:S9),"")</f>
        <v/>
      </c>
      <c r="T9" s="14" t="str">
        <f>iferror(average('Revenue Growth YoY'!T6:T9),"")</f>
        <v/>
      </c>
      <c r="U9" s="14" t="str">
        <f>iferror(average('Revenue Growth YoY'!U6:U9),"")</f>
        <v/>
      </c>
      <c r="V9" s="14" t="str">
        <f>iferror(average('Revenue Growth YoY'!V6:V9),"")</f>
        <v/>
      </c>
      <c r="W9" s="14">
        <f>iferror(average('Revenue Growth YoY'!W6:W9),"")</f>
        <v>1.28685259</v>
      </c>
      <c r="X9" s="14">
        <f>iferror(average('Revenue Growth YoY'!X6:X9),"")</f>
        <v>0.1080708603</v>
      </c>
      <c r="Y9" s="14" t="str">
        <f>iferror(average('Revenue Growth YoY'!Y6:Y9),"")</f>
        <v/>
      </c>
      <c r="Z9" s="14" t="str">
        <f>iferror(average('Revenue Growth YoY'!Z6:Z9),"")</f>
        <v/>
      </c>
      <c r="AA9" s="14" t="str">
        <f>iferror(average('Revenue Growth YoY'!AA6:AA9),"")</f>
        <v/>
      </c>
      <c r="AB9" s="14" t="str">
        <f>iferror(average('Revenue Growth YoY'!AB6:AB9),"")</f>
        <v/>
      </c>
      <c r="AC9" s="14" t="str">
        <f>iferror(average('Revenue Growth YoY'!AC6:AC9),"")</f>
        <v/>
      </c>
      <c r="AD9" s="12"/>
    </row>
    <row r="10">
      <c r="A10" s="15" t="s">
        <v>37</v>
      </c>
      <c r="B10" s="14" t="str">
        <f>iferror(average('Revenue Growth YoY'!B7:B10),"")</f>
        <v/>
      </c>
      <c r="C10" s="14"/>
      <c r="D10" s="14"/>
      <c r="E10" s="14" t="str">
        <f>iferror(average('Revenue Growth YoY'!E7:E10),"")</f>
        <v/>
      </c>
      <c r="F10" s="14" t="str">
        <f>iferror(average('Revenue Growth YoY'!F7:F10),"")</f>
        <v/>
      </c>
      <c r="G10" s="14" t="str">
        <f>iferror(average('Revenue Growth YoY'!G7:G10),"")</f>
        <v/>
      </c>
      <c r="H10" s="14" t="str">
        <f>iferror(average('Revenue Growth YoY'!H7:H10),"")</f>
        <v/>
      </c>
      <c r="I10" s="14" t="str">
        <f>iferror(average('Revenue Growth YoY'!I7:I10),"")</f>
        <v/>
      </c>
      <c r="J10" s="14" t="str">
        <f>iferror(average('Revenue Growth YoY'!J7:J10),"")</f>
        <v/>
      </c>
      <c r="K10" s="14" t="str">
        <f>iferror(average('Revenue Growth YoY'!K7:K10),"")</f>
        <v/>
      </c>
      <c r="L10" s="14" t="str">
        <f>iferror(average('Revenue Growth YoY'!L7:L10),"")</f>
        <v/>
      </c>
      <c r="M10" s="14" t="str">
        <f>iferror(average('Revenue Growth YoY'!M7:M10),"")</f>
        <v/>
      </c>
      <c r="N10" s="14" t="str">
        <f>iferror(average('Revenue Growth YoY'!N7:N10),"")</f>
        <v/>
      </c>
      <c r="O10" s="14" t="str">
        <f>iferror(average('Revenue Growth YoY'!O7:O10),"")</f>
        <v/>
      </c>
      <c r="P10" s="14" t="str">
        <f>iferror(average('Revenue Growth YoY'!P7:P10),"")</f>
        <v/>
      </c>
      <c r="Q10" s="14" t="str">
        <f>iferror(average('Revenue Growth YoY'!Q7:Q10),"")</f>
        <v/>
      </c>
      <c r="R10" s="14"/>
      <c r="S10" s="14" t="str">
        <f>iferror(average('Revenue Growth YoY'!S7:S10),"")</f>
        <v/>
      </c>
      <c r="T10" s="14" t="str">
        <f>iferror(average('Revenue Growth YoY'!T7:T10),"")</f>
        <v/>
      </c>
      <c r="U10" s="14" t="str">
        <f>iferror(average('Revenue Growth YoY'!U7:U10),"")</f>
        <v/>
      </c>
      <c r="V10" s="14" t="str">
        <f>iferror(average('Revenue Growth YoY'!V7:V10),"")</f>
        <v/>
      </c>
      <c r="W10" s="14">
        <f>iferror(average('Revenue Growth YoY'!W7:W10),"")</f>
        <v>1.28685259</v>
      </c>
      <c r="X10" s="14">
        <f>iferror(average('Revenue Growth YoY'!X7:X10),"")</f>
        <v>0.1584169384</v>
      </c>
      <c r="Y10" s="14" t="str">
        <f>iferror(average('Revenue Growth YoY'!Y7:Y10),"")</f>
        <v/>
      </c>
      <c r="Z10" s="14" t="str">
        <f>iferror(average('Revenue Growth YoY'!Z7:Z10),"")</f>
        <v/>
      </c>
      <c r="AA10" s="14" t="str">
        <f>iferror(average('Revenue Growth YoY'!AA7:AA10),"")</f>
        <v/>
      </c>
      <c r="AB10" s="14" t="str">
        <f>iferror(average('Revenue Growth YoY'!AB7:AB10),"")</f>
        <v/>
      </c>
      <c r="AC10" s="14" t="str">
        <f>iferror(average('Revenue Growth YoY'!AC7:AC10),"")</f>
        <v/>
      </c>
      <c r="AD10" s="12"/>
    </row>
    <row r="11">
      <c r="A11" s="15" t="s">
        <v>38</v>
      </c>
      <c r="B11" s="14" t="str">
        <f>iferror(average('Revenue Growth YoY'!B8:B11),"")</f>
        <v/>
      </c>
      <c r="C11" s="14" t="str">
        <f>iferror(average('Revenue Growth YoY'!C8:C11),"")</f>
        <v/>
      </c>
      <c r="D11" s="14">
        <f>iferror(average('Revenue Growth YoY'!D8:D11),"")</f>
        <v>1.79879945</v>
      </c>
      <c r="E11" s="14" t="str">
        <f>iferror(average('Revenue Growth YoY'!E8:E11),"")</f>
        <v/>
      </c>
      <c r="F11" s="14" t="str">
        <f>iferror(average('Revenue Growth YoY'!F8:F11),"")</f>
        <v/>
      </c>
      <c r="G11" s="14" t="str">
        <f>iferror(average('Revenue Growth YoY'!G8:G11),"")</f>
        <v/>
      </c>
      <c r="H11" s="14" t="str">
        <f>iferror(average('Revenue Growth YoY'!H8:H11),"")</f>
        <v/>
      </c>
      <c r="I11" s="14" t="str">
        <f>iferror(average('Revenue Growth YoY'!I8:I11),"")</f>
        <v/>
      </c>
      <c r="J11" s="14" t="str">
        <f>iferror(average('Revenue Growth YoY'!J8:J11),"")</f>
        <v/>
      </c>
      <c r="K11" s="14" t="str">
        <f>iferror(average('Revenue Growth YoY'!K8:K11),"")</f>
        <v/>
      </c>
      <c r="L11" s="14" t="str">
        <f>iferror(average('Revenue Growth YoY'!L8:L11),"")</f>
        <v/>
      </c>
      <c r="M11" s="14" t="str">
        <f>iferror(average('Revenue Growth YoY'!M8:M11),"")</f>
        <v/>
      </c>
      <c r="N11" s="14" t="str">
        <f>iferror(average('Revenue Growth YoY'!N8:N11),"")</f>
        <v/>
      </c>
      <c r="O11" s="14" t="str">
        <f>iferror(average('Revenue Growth YoY'!O8:O11),"")</f>
        <v/>
      </c>
      <c r="P11" s="14" t="str">
        <f>iferror(average('Revenue Growth YoY'!P8:P11),"")</f>
        <v/>
      </c>
      <c r="Q11" s="14" t="str">
        <f>iferror(average('Revenue Growth YoY'!Q8:Q11),"")</f>
        <v/>
      </c>
      <c r="R11" s="14"/>
      <c r="S11" s="14" t="str">
        <f>iferror(average('Revenue Growth YoY'!S8:S11),"")</f>
        <v/>
      </c>
      <c r="T11" s="14" t="str">
        <f>iferror(average('Revenue Growth YoY'!T8:T11),"")</f>
        <v/>
      </c>
      <c r="U11" s="14" t="str">
        <f>iferror(average('Revenue Growth YoY'!U8:U11),"")</f>
        <v/>
      </c>
      <c r="V11" s="14" t="str">
        <f>iferror(average('Revenue Growth YoY'!V8:V11),"")</f>
        <v/>
      </c>
      <c r="W11" s="14">
        <f>iferror(average('Revenue Growth YoY'!W8:W11),"")</f>
        <v>1.470707292</v>
      </c>
      <c r="X11" s="14">
        <f>iferror(average('Revenue Growth YoY'!X8:X11),"")</f>
        <v>0.2339360554</v>
      </c>
      <c r="Y11" s="14" t="str">
        <f>iferror(average('Revenue Growth YoY'!Y8:Y11),"")</f>
        <v/>
      </c>
      <c r="Z11" s="14" t="str">
        <f>iferror(average('Revenue Growth YoY'!Z8:Z11),"")</f>
        <v/>
      </c>
      <c r="AA11" s="14" t="str">
        <f>iferror(average('Revenue Growth YoY'!AA8:AA11),"")</f>
        <v/>
      </c>
      <c r="AB11" s="14" t="str">
        <f>iferror(average('Revenue Growth YoY'!AB8:AB11),"")</f>
        <v/>
      </c>
      <c r="AC11" s="14" t="str">
        <f>iferror(average('Revenue Growth YoY'!AC8:AC11),"")</f>
        <v/>
      </c>
      <c r="AD11" s="12"/>
    </row>
    <row r="12">
      <c r="A12" s="15" t="s">
        <v>39</v>
      </c>
      <c r="B12" s="14" t="str">
        <f>iferror(average('Revenue Growth YoY'!B9:B12),"")</f>
        <v/>
      </c>
      <c r="C12" s="14" t="str">
        <f>iferror(average('Revenue Growth YoY'!C9:C12),"")</f>
        <v/>
      </c>
      <c r="D12" s="14">
        <f>iferror(average('Revenue Growth YoY'!D9:D12),"")</f>
        <v>1.79879945</v>
      </c>
      <c r="E12" s="14" t="str">
        <f>iferror(average('Revenue Growth YoY'!E9:E12),"")</f>
        <v/>
      </c>
      <c r="F12" s="14" t="str">
        <f>iferror(average('Revenue Growth YoY'!F9:F12),"")</f>
        <v/>
      </c>
      <c r="G12" s="14" t="str">
        <f>iferror(average('Revenue Growth YoY'!G9:G12),"")</f>
        <v/>
      </c>
      <c r="H12" s="14" t="str">
        <f>iferror(average('Revenue Growth YoY'!H9:H12),"")</f>
        <v/>
      </c>
      <c r="I12" s="14" t="str">
        <f>iferror(average('Revenue Growth YoY'!I9:I12),"")</f>
        <v/>
      </c>
      <c r="J12" s="14" t="str">
        <f>iferror(average('Revenue Growth YoY'!J9:J12),"")</f>
        <v/>
      </c>
      <c r="K12" s="14" t="str">
        <f>iferror(average('Revenue Growth YoY'!K9:K12),"")</f>
        <v/>
      </c>
      <c r="L12" s="14" t="str">
        <f>iferror(average('Revenue Growth YoY'!L9:L12),"")</f>
        <v/>
      </c>
      <c r="M12" s="14" t="str">
        <f>iferror(average('Revenue Growth YoY'!M9:M12),"")</f>
        <v/>
      </c>
      <c r="N12" s="14" t="str">
        <f>iferror(average('Revenue Growth YoY'!N9:N12),"")</f>
        <v/>
      </c>
      <c r="O12" s="14" t="str">
        <f>iferror(average('Revenue Growth YoY'!O9:O12),"")</f>
        <v/>
      </c>
      <c r="P12" s="14" t="str">
        <f>iferror(average('Revenue Growth YoY'!P9:P12),"")</f>
        <v/>
      </c>
      <c r="Q12" s="14" t="str">
        <f>iferror(average('Revenue Growth YoY'!Q9:Q12),"")</f>
        <v/>
      </c>
      <c r="R12" s="14"/>
      <c r="S12" s="14" t="str">
        <f>iferror(average('Revenue Growth YoY'!S9:S12),"")</f>
        <v/>
      </c>
      <c r="T12" s="14" t="str">
        <f>iferror(average('Revenue Growth YoY'!T9:T12),"")</f>
        <v/>
      </c>
      <c r="U12" s="14" t="str">
        <f>iferror(average('Revenue Growth YoY'!U9:U12),"")</f>
        <v/>
      </c>
      <c r="V12" s="14" t="str">
        <f>iferror(average('Revenue Growth YoY'!V9:V12),"")</f>
        <v/>
      </c>
      <c r="W12" s="14">
        <f>iferror(average('Revenue Growth YoY'!W9:W12),"")</f>
        <v>1.654561995</v>
      </c>
      <c r="X12" s="14">
        <f>iferror(average('Revenue Growth YoY'!X9:X12),"")</f>
        <v>0.3094551725</v>
      </c>
      <c r="Y12" s="14" t="str">
        <f>iferror(average('Revenue Growth YoY'!Y9:Y12),"")</f>
        <v/>
      </c>
      <c r="Z12" s="14" t="str">
        <f>iferror(average('Revenue Growth YoY'!Z9:Z12),"")</f>
        <v/>
      </c>
      <c r="AA12" s="14" t="str">
        <f>iferror(average('Revenue Growth YoY'!AA9:AA12),"")</f>
        <v/>
      </c>
      <c r="AB12" s="14" t="str">
        <f>iferror(average('Revenue Growth YoY'!AB9:AB12),"")</f>
        <v/>
      </c>
      <c r="AC12" s="14" t="str">
        <f>iferror(average('Revenue Growth YoY'!AC9:AC12),"")</f>
        <v/>
      </c>
      <c r="AD12" s="12"/>
    </row>
    <row r="13">
      <c r="A13" s="15" t="s">
        <v>40</v>
      </c>
      <c r="B13" s="14" t="str">
        <f>iferror(average('Revenue Growth YoY'!B10:B13),"")</f>
        <v/>
      </c>
      <c r="C13" s="14" t="str">
        <f>iferror(average('Revenue Growth YoY'!C10:C13),"")</f>
        <v/>
      </c>
      <c r="D13" s="14">
        <f>iferror(average('Revenue Growth YoY'!D10:D13),"")</f>
        <v>1.79879945</v>
      </c>
      <c r="E13" s="14" t="str">
        <f>iferror(average('Revenue Growth YoY'!E10:E13),"")</f>
        <v/>
      </c>
      <c r="F13" s="14" t="str">
        <f>iferror(average('Revenue Growth YoY'!F10:F13),"")</f>
        <v/>
      </c>
      <c r="G13" s="14" t="str">
        <f>iferror(average('Revenue Growth YoY'!G10:G13),"")</f>
        <v/>
      </c>
      <c r="H13" s="14" t="str">
        <f>iferror(average('Revenue Growth YoY'!H10:H13),"")</f>
        <v/>
      </c>
      <c r="I13" s="14" t="str">
        <f>iferror(average('Revenue Growth YoY'!I10:I13),"")</f>
        <v/>
      </c>
      <c r="J13" s="14" t="str">
        <f>iferror(average('Revenue Growth YoY'!J10:J13),"")</f>
        <v/>
      </c>
      <c r="K13" s="14" t="str">
        <f>iferror(average('Revenue Growth YoY'!K10:K13),"")</f>
        <v/>
      </c>
      <c r="L13" s="14" t="str">
        <f>iferror(average('Revenue Growth YoY'!L10:L13),"")</f>
        <v/>
      </c>
      <c r="M13" s="14" t="str">
        <f>iferror(average('Revenue Growth YoY'!M10:M13),"")</f>
        <v/>
      </c>
      <c r="N13" s="14" t="str">
        <f>iferror(average('Revenue Growth YoY'!N10:N13),"")</f>
        <v/>
      </c>
      <c r="O13" s="14" t="str">
        <f>iferror(average('Revenue Growth YoY'!O10:O13),"")</f>
        <v/>
      </c>
      <c r="P13" s="14" t="str">
        <f>iferror(average('Revenue Growth YoY'!P10:P13),"")</f>
        <v/>
      </c>
      <c r="Q13" s="14" t="str">
        <f>iferror(average('Revenue Growth YoY'!Q10:Q13),"")</f>
        <v/>
      </c>
      <c r="R13" s="14"/>
      <c r="S13" s="14" t="str">
        <f>iferror(average('Revenue Growth YoY'!S10:S13),"")</f>
        <v/>
      </c>
      <c r="T13" s="14" t="str">
        <f>iferror(average('Revenue Growth YoY'!T10:T13),"")</f>
        <v/>
      </c>
      <c r="U13" s="14" t="str">
        <f>iferror(average('Revenue Growth YoY'!U10:U13),"")</f>
        <v/>
      </c>
      <c r="V13" s="14" t="str">
        <f>iferror(average('Revenue Growth YoY'!V10:V13),"")</f>
        <v/>
      </c>
      <c r="W13" s="14">
        <f>iferror(average('Revenue Growth YoY'!W10:W13),"")</f>
        <v>1.838416698</v>
      </c>
      <c r="X13" s="14">
        <f>iferror(average('Revenue Growth YoY'!X10:X13),"")</f>
        <v>0.2793027555</v>
      </c>
      <c r="Y13" s="14" t="str">
        <f>iferror(average('Revenue Growth YoY'!Y10:Y13),"")</f>
        <v/>
      </c>
      <c r="Z13" s="14" t="str">
        <f>iferror(average('Revenue Growth YoY'!Z10:Z13),"")</f>
        <v/>
      </c>
      <c r="AA13" s="14" t="str">
        <f>iferror(average('Revenue Growth YoY'!AA10:AA13),"")</f>
        <v/>
      </c>
      <c r="AB13" s="14" t="str">
        <f>iferror(average('Revenue Growth YoY'!AB10:AB13),"")</f>
        <v/>
      </c>
      <c r="AC13" s="14" t="str">
        <f>iferror(average('Revenue Growth YoY'!AC10:AC13),"")</f>
        <v/>
      </c>
      <c r="AD13" s="12"/>
    </row>
    <row r="14">
      <c r="A14" s="15" t="s">
        <v>41</v>
      </c>
      <c r="B14" s="14" t="str">
        <f>iferror(average('Revenue Growth YoY'!B11:B14),"")</f>
        <v/>
      </c>
      <c r="C14" s="14" t="str">
        <f>iferror(average('Revenue Growth YoY'!C11:C14),"")</f>
        <v/>
      </c>
      <c r="D14" s="14">
        <f>iferror(average('Revenue Growth YoY'!D11:D14),"")</f>
        <v>1.79879945</v>
      </c>
      <c r="E14" s="14" t="str">
        <f>iferror(average('Revenue Growth YoY'!E11:E14),"")</f>
        <v/>
      </c>
      <c r="F14" s="14" t="str">
        <f>iferror(average('Revenue Growth YoY'!F11:F14),"")</f>
        <v/>
      </c>
      <c r="G14" s="14" t="str">
        <f>iferror(average('Revenue Growth YoY'!G11:G14),"")</f>
        <v/>
      </c>
      <c r="H14" s="14" t="str">
        <f>iferror(average('Revenue Growth YoY'!H11:H14),"")</f>
        <v/>
      </c>
      <c r="I14" s="14" t="str">
        <f>iferror(average('Revenue Growth YoY'!I11:I14),"")</f>
        <v/>
      </c>
      <c r="J14" s="14" t="str">
        <f>iferror(average('Revenue Growth YoY'!J11:J14),"")</f>
        <v/>
      </c>
      <c r="K14" s="14" t="str">
        <f>iferror(average('Revenue Growth YoY'!K11:K14),"")</f>
        <v/>
      </c>
      <c r="L14" s="14" t="str">
        <f>iferror(average('Revenue Growth YoY'!L11:L14),"")</f>
        <v/>
      </c>
      <c r="M14" s="14" t="str">
        <f>iferror(average('Revenue Growth YoY'!M11:M14),"")</f>
        <v/>
      </c>
      <c r="N14" s="14" t="str">
        <f>iferror(average('Revenue Growth YoY'!N11:N14),"")</f>
        <v/>
      </c>
      <c r="O14" s="14" t="str">
        <f>iferror(average('Revenue Growth YoY'!O11:O14),"")</f>
        <v/>
      </c>
      <c r="P14" s="14" t="str">
        <f>iferror(average('Revenue Growth YoY'!P11:P14),"")</f>
        <v/>
      </c>
      <c r="Q14" s="14" t="str">
        <f>iferror(average('Revenue Growth YoY'!Q11:Q14),"")</f>
        <v/>
      </c>
      <c r="R14" s="14"/>
      <c r="S14" s="14" t="str">
        <f>iferror(average('Revenue Growth YoY'!S11:S14),"")</f>
        <v/>
      </c>
      <c r="T14" s="14" t="str">
        <f>iferror(average('Revenue Growth YoY'!T11:T14),"")</f>
        <v/>
      </c>
      <c r="U14" s="14" t="str">
        <f>iferror(average('Revenue Growth YoY'!U11:U14),"")</f>
        <v/>
      </c>
      <c r="V14" s="14" t="str">
        <f>iferror(average('Revenue Growth YoY'!V11:V14),"")</f>
        <v/>
      </c>
      <c r="W14" s="14">
        <f>iferror(average('Revenue Growth YoY'!W11:W14),"")</f>
        <v>2.0222714</v>
      </c>
      <c r="X14" s="14">
        <f>iferror(average('Revenue Growth YoY'!X11:X14),"")</f>
        <v>0.2491503385</v>
      </c>
      <c r="Y14" s="14" t="str">
        <f>iferror(average('Revenue Growth YoY'!Y11:Y14),"")</f>
        <v/>
      </c>
      <c r="Z14" s="14" t="str">
        <f>iferror(average('Revenue Growth YoY'!Z11:Z14),"")</f>
        <v/>
      </c>
      <c r="AA14" s="14" t="str">
        <f>iferror(average('Revenue Growth YoY'!AA11:AA14),"")</f>
        <v/>
      </c>
      <c r="AB14" s="14" t="str">
        <f>iferror(average('Revenue Growth YoY'!AB11:AB14),"")</f>
        <v/>
      </c>
      <c r="AC14" s="14" t="str">
        <f>iferror(average('Revenue Growth YoY'!AC11:AC14),"")</f>
        <v/>
      </c>
      <c r="AD14" s="12"/>
    </row>
    <row r="15">
      <c r="A15" s="15" t="s">
        <v>42</v>
      </c>
      <c r="B15" s="14" t="str">
        <f>iferror(average('Revenue Growth YoY'!B12:B15),"")</f>
        <v/>
      </c>
      <c r="C15" s="14">
        <f>iferror(average('Revenue Growth YoY'!C12:C15),"")</f>
        <v>1.560883895</v>
      </c>
      <c r="D15" s="14">
        <f>iferror(average('Revenue Growth YoY'!D12:D15),"")</f>
        <v>1.710426754</v>
      </c>
      <c r="E15" s="14" t="str">
        <f>iferror(average('Revenue Growth YoY'!E12:E15),"")</f>
        <v/>
      </c>
      <c r="F15" s="14" t="str">
        <f>iferror(average('Revenue Growth YoY'!F12:F15),"")</f>
        <v/>
      </c>
      <c r="G15" s="14" t="str">
        <f>iferror(average('Revenue Growth YoY'!G12:G15),"")</f>
        <v/>
      </c>
      <c r="H15" s="14" t="str">
        <f>iferror(average('Revenue Growth YoY'!H12:H15),"")</f>
        <v/>
      </c>
      <c r="I15" s="14" t="str">
        <f>iferror(average('Revenue Growth YoY'!I12:I15),"")</f>
        <v/>
      </c>
      <c r="J15" s="14" t="str">
        <f>iferror(average('Revenue Growth YoY'!J12:J15),"")</f>
        <v/>
      </c>
      <c r="K15" s="14" t="str">
        <f>iferror(average('Revenue Growth YoY'!K12:K15),"")</f>
        <v/>
      </c>
      <c r="L15" s="14" t="str">
        <f>iferror(average('Revenue Growth YoY'!L12:L15),"")</f>
        <v/>
      </c>
      <c r="M15" s="14" t="str">
        <f>iferror(average('Revenue Growth YoY'!M12:M15),"")</f>
        <v/>
      </c>
      <c r="N15" s="14" t="str">
        <f>iferror(average('Revenue Growth YoY'!N12:N15),"")</f>
        <v/>
      </c>
      <c r="O15" s="14" t="str">
        <f>iferror(average('Revenue Growth YoY'!O12:O15),"")</f>
        <v/>
      </c>
      <c r="P15" s="14" t="str">
        <f>iferror(average('Revenue Growth YoY'!P12:P15),"")</f>
        <v/>
      </c>
      <c r="Q15" s="14" t="str">
        <f>iferror(average('Revenue Growth YoY'!Q12:Q15),"")</f>
        <v/>
      </c>
      <c r="R15" s="14"/>
      <c r="S15" s="14" t="str">
        <f>iferror(average('Revenue Growth YoY'!S12:S15),"")</f>
        <v/>
      </c>
      <c r="T15" s="14" t="str">
        <f>iferror(average('Revenue Growth YoY'!T12:T15),"")</f>
        <v/>
      </c>
      <c r="U15" s="14" t="str">
        <f>iferror(average('Revenue Growth YoY'!U12:U15),"")</f>
        <v/>
      </c>
      <c r="V15" s="14" t="str">
        <f>iferror(average('Revenue Growth YoY'!V12:V15),"")</f>
        <v/>
      </c>
      <c r="W15" s="14">
        <f>iferror(average('Revenue Growth YoY'!W12:W15),"")</f>
        <v>2.017128091</v>
      </c>
      <c r="X15" s="14">
        <f>iferror(average('Revenue Growth YoY'!X12:X15),"")</f>
        <v>0.2189979215</v>
      </c>
      <c r="Y15" s="14" t="str">
        <f>iferror(average('Revenue Growth YoY'!Y12:Y15),"")</f>
        <v/>
      </c>
      <c r="Z15" s="14" t="str">
        <f>iferror(average('Revenue Growth YoY'!Z12:Z15),"")</f>
        <v/>
      </c>
      <c r="AA15" s="14" t="str">
        <f>iferror(average('Revenue Growth YoY'!AA12:AA15),"")</f>
        <v/>
      </c>
      <c r="AB15" s="14" t="str">
        <f>iferror(average('Revenue Growth YoY'!AB12:AB15),"")</f>
        <v/>
      </c>
      <c r="AC15" s="14" t="str">
        <f>iferror(average('Revenue Growth YoY'!AC12:AC15),"")</f>
        <v/>
      </c>
      <c r="AD15" s="12"/>
    </row>
    <row r="16">
      <c r="A16" s="15" t="s">
        <v>43</v>
      </c>
      <c r="B16" s="14" t="str">
        <f>iferror(average('Revenue Growth YoY'!B13:B16),"")</f>
        <v/>
      </c>
      <c r="C16" s="14">
        <f>iferror(average('Revenue Growth YoY'!C13:C16),"")</f>
        <v>1.560883895</v>
      </c>
      <c r="D16" s="14">
        <f>iferror(average('Revenue Growth YoY'!D13:D16),"")</f>
        <v>1.622054057</v>
      </c>
      <c r="E16" s="14" t="str">
        <f>iferror(average('Revenue Growth YoY'!E13:E16),"")</f>
        <v/>
      </c>
      <c r="F16" s="14" t="str">
        <f>iferror(average('Revenue Growth YoY'!F13:F16),"")</f>
        <v/>
      </c>
      <c r="G16" s="14" t="str">
        <f>iferror(average('Revenue Growth YoY'!G13:G16),"")</f>
        <v/>
      </c>
      <c r="H16" s="14" t="str">
        <f>iferror(average('Revenue Growth YoY'!H13:H16),"")</f>
        <v/>
      </c>
      <c r="I16" s="14" t="str">
        <f>iferror(average('Revenue Growth YoY'!I13:I16),"")</f>
        <v/>
      </c>
      <c r="J16" s="14" t="str">
        <f>iferror(average('Revenue Growth YoY'!J13:J16),"")</f>
        <v/>
      </c>
      <c r="K16" s="14" t="str">
        <f>iferror(average('Revenue Growth YoY'!K13:K16),"")</f>
        <v/>
      </c>
      <c r="L16" s="14" t="str">
        <f>iferror(average('Revenue Growth YoY'!L13:L16),"")</f>
        <v/>
      </c>
      <c r="M16" s="14" t="str">
        <f>iferror(average('Revenue Growth YoY'!M13:M16),"")</f>
        <v/>
      </c>
      <c r="N16" s="14" t="str">
        <f>iferror(average('Revenue Growth YoY'!N13:N16),"")</f>
        <v/>
      </c>
      <c r="O16" s="14" t="str">
        <f>iferror(average('Revenue Growth YoY'!O13:O16),"")</f>
        <v/>
      </c>
      <c r="P16" s="14" t="str">
        <f>iferror(average('Revenue Growth YoY'!P13:P16),"")</f>
        <v/>
      </c>
      <c r="Q16" s="14" t="str">
        <f>iferror(average('Revenue Growth YoY'!Q13:Q16),"")</f>
        <v/>
      </c>
      <c r="R16" s="14"/>
      <c r="S16" s="14" t="str">
        <f>iferror(average('Revenue Growth YoY'!S13:S16),"")</f>
        <v/>
      </c>
      <c r="T16" s="14" t="str">
        <f>iferror(average('Revenue Growth YoY'!T13:T16),"")</f>
        <v/>
      </c>
      <c r="U16" s="14" t="str">
        <f>iferror(average('Revenue Growth YoY'!U13:U16),"")</f>
        <v/>
      </c>
      <c r="V16" s="14" t="str">
        <f>iferror(average('Revenue Growth YoY'!V13:V16),"")</f>
        <v/>
      </c>
      <c r="W16" s="14">
        <f>iferror(average('Revenue Growth YoY'!W13:W16),"")</f>
        <v>2.011984782</v>
      </c>
      <c r="X16" s="14">
        <f>iferror(average('Revenue Growth YoY'!X13:X16),"")</f>
        <v>0.1888455045</v>
      </c>
      <c r="Y16" s="14" t="str">
        <f>iferror(average('Revenue Growth YoY'!Y13:Y16),"")</f>
        <v/>
      </c>
      <c r="Z16" s="14" t="str">
        <f>iferror(average('Revenue Growth YoY'!Z13:Z16),"")</f>
        <v/>
      </c>
      <c r="AA16" s="14" t="str">
        <f>iferror(average('Revenue Growth YoY'!AA13:AA16),"")</f>
        <v/>
      </c>
      <c r="AB16" s="14" t="str">
        <f>iferror(average('Revenue Growth YoY'!AB13:AB16),"")</f>
        <v/>
      </c>
      <c r="AC16" s="14" t="str">
        <f>iferror(average('Revenue Growth YoY'!AC13:AC16),"")</f>
        <v/>
      </c>
      <c r="AD16" s="12"/>
    </row>
    <row r="17">
      <c r="A17" s="15" t="s">
        <v>44</v>
      </c>
      <c r="B17" s="14" t="str">
        <f>iferror(average('Revenue Growth YoY'!B14:B17),"")</f>
        <v/>
      </c>
      <c r="C17" s="14">
        <f>iferror(average('Revenue Growth YoY'!C14:C17),"")</f>
        <v>1.560883895</v>
      </c>
      <c r="D17" s="14">
        <f>iferror(average('Revenue Growth YoY'!D14:D17),"")</f>
        <v>1.533681361</v>
      </c>
      <c r="E17" s="14" t="str">
        <f>iferror(average('Revenue Growth YoY'!E14:E17),"")</f>
        <v/>
      </c>
      <c r="F17" s="14" t="str">
        <f>iferror(average('Revenue Growth YoY'!F14:F17),"")</f>
        <v/>
      </c>
      <c r="G17" s="14" t="str">
        <f>iferror(average('Revenue Growth YoY'!G14:G17),"")</f>
        <v/>
      </c>
      <c r="H17" s="14" t="str">
        <f>iferror(average('Revenue Growth YoY'!H14:H17),"")</f>
        <v/>
      </c>
      <c r="I17" s="14" t="str">
        <f>iferror(average('Revenue Growth YoY'!I14:I17),"")</f>
        <v/>
      </c>
      <c r="J17" s="14" t="str">
        <f>iferror(average('Revenue Growth YoY'!J14:J17),"")</f>
        <v/>
      </c>
      <c r="K17" s="14" t="str">
        <f>iferror(average('Revenue Growth YoY'!K14:K17),"")</f>
        <v/>
      </c>
      <c r="L17" s="14" t="str">
        <f>iferror(average('Revenue Growth YoY'!L14:L17),"")</f>
        <v/>
      </c>
      <c r="M17" s="14" t="str">
        <f>iferror(average('Revenue Growth YoY'!M14:M17),"")</f>
        <v/>
      </c>
      <c r="N17" s="14" t="str">
        <f>iferror(average('Revenue Growth YoY'!N14:N17),"")</f>
        <v/>
      </c>
      <c r="O17" s="14" t="str">
        <f>iferror(average('Revenue Growth YoY'!O14:O17),"")</f>
        <v/>
      </c>
      <c r="P17" s="14" t="str">
        <f>iferror(average('Revenue Growth YoY'!P14:P17),"")</f>
        <v/>
      </c>
      <c r="Q17" s="14" t="str">
        <f>iferror(average('Revenue Growth YoY'!Q14:Q17),"")</f>
        <v/>
      </c>
      <c r="R17" s="14"/>
      <c r="S17" s="14" t="str">
        <f>iferror(average('Revenue Growth YoY'!S14:S17),"")</f>
        <v/>
      </c>
      <c r="T17" s="14" t="str">
        <f>iferror(average('Revenue Growth YoY'!T14:T17),"")</f>
        <v/>
      </c>
      <c r="U17" s="14" t="str">
        <f>iferror(average('Revenue Growth YoY'!U14:U17),"")</f>
        <v/>
      </c>
      <c r="V17" s="14" t="str">
        <f>iferror(average('Revenue Growth YoY'!V14:V17),"")</f>
        <v/>
      </c>
      <c r="W17" s="14">
        <f>iferror(average('Revenue Growth YoY'!W14:W17),"")</f>
        <v>2.006841472</v>
      </c>
      <c r="X17" s="14">
        <f>iferror(average('Revenue Growth YoY'!X14:X17),"")</f>
        <v>0.1569025371</v>
      </c>
      <c r="Y17" s="14" t="str">
        <f>iferror(average('Revenue Growth YoY'!Y14:Y17),"")</f>
        <v/>
      </c>
      <c r="Z17" s="14" t="str">
        <f>iferror(average('Revenue Growth YoY'!Z14:Z17),"")</f>
        <v/>
      </c>
      <c r="AA17" s="14" t="str">
        <f>iferror(average('Revenue Growth YoY'!AA14:AA17),"")</f>
        <v/>
      </c>
      <c r="AB17" s="14" t="str">
        <f>iferror(average('Revenue Growth YoY'!AB14:AB17),"")</f>
        <v/>
      </c>
      <c r="AC17" s="14" t="str">
        <f>iferror(average('Revenue Growth YoY'!AC14:AC17),"")</f>
        <v/>
      </c>
      <c r="AD17" s="12"/>
    </row>
    <row r="18">
      <c r="A18" s="15" t="s">
        <v>45</v>
      </c>
      <c r="B18" s="14" t="str">
        <f>iferror(average('Revenue Growth YoY'!B15:B18),"")</f>
        <v/>
      </c>
      <c r="C18" s="14">
        <f>iferror(average('Revenue Growth YoY'!C15:C18),"")</f>
        <v>1.560883895</v>
      </c>
      <c r="D18" s="14">
        <f>iferror(average('Revenue Growth YoY'!D15:D18),"")</f>
        <v>1.445308664</v>
      </c>
      <c r="E18" s="14" t="str">
        <f>iferror(average('Revenue Growth YoY'!E15:E18),"")</f>
        <v/>
      </c>
      <c r="F18" s="14" t="str">
        <f>iferror(average('Revenue Growth YoY'!F15:F18),"")</f>
        <v/>
      </c>
      <c r="G18" s="14" t="str">
        <f>iferror(average('Revenue Growth YoY'!G15:G18),"")</f>
        <v/>
      </c>
      <c r="H18" s="14" t="str">
        <f>iferror(average('Revenue Growth YoY'!H15:H18),"")</f>
        <v/>
      </c>
      <c r="I18" s="14" t="str">
        <f>iferror(average('Revenue Growth YoY'!I15:I18),"")</f>
        <v/>
      </c>
      <c r="J18" s="14" t="str">
        <f>iferror(average('Revenue Growth YoY'!J15:J18),"")</f>
        <v/>
      </c>
      <c r="K18" s="14" t="str">
        <f>iferror(average('Revenue Growth YoY'!K15:K18),"")</f>
        <v/>
      </c>
      <c r="L18" s="14" t="str">
        <f>iferror(average('Revenue Growth YoY'!L15:L18),"")</f>
        <v/>
      </c>
      <c r="M18" s="14" t="str">
        <f>iferror(average('Revenue Growth YoY'!M15:M18),"")</f>
        <v/>
      </c>
      <c r="N18" s="14" t="str">
        <f>iferror(average('Revenue Growth YoY'!N15:N18),"")</f>
        <v/>
      </c>
      <c r="O18" s="14" t="str">
        <f>iferror(average('Revenue Growth YoY'!O15:O18),"")</f>
        <v/>
      </c>
      <c r="P18" s="14" t="str">
        <f>iferror(average('Revenue Growth YoY'!P15:P18),"")</f>
        <v/>
      </c>
      <c r="Q18" s="14" t="str">
        <f>iferror(average('Revenue Growth YoY'!Q15:Q18),"")</f>
        <v/>
      </c>
      <c r="R18" s="14"/>
      <c r="S18" s="14" t="str">
        <f>iferror(average('Revenue Growth YoY'!S15:S18),"")</f>
        <v/>
      </c>
      <c r="T18" s="14" t="str">
        <f>iferror(average('Revenue Growth YoY'!T15:T18),"")</f>
        <v/>
      </c>
      <c r="U18" s="14" t="str">
        <f>iferror(average('Revenue Growth YoY'!U15:U18),"")</f>
        <v/>
      </c>
      <c r="V18" s="14" t="str">
        <f>iferror(average('Revenue Growth YoY'!V15:V18),"")</f>
        <v/>
      </c>
      <c r="W18" s="14">
        <f>iferror(average('Revenue Growth YoY'!W15:W18),"")</f>
        <v>2.001698163</v>
      </c>
      <c r="X18" s="14">
        <f>iferror(average('Revenue Growth YoY'!X15:X18),"")</f>
        <v>0.1249595698</v>
      </c>
      <c r="Y18" s="14" t="str">
        <f>iferror(average('Revenue Growth YoY'!Y15:Y18),"")</f>
        <v/>
      </c>
      <c r="Z18" s="14" t="str">
        <f>iferror(average('Revenue Growth YoY'!Z15:Z18),"")</f>
        <v/>
      </c>
      <c r="AA18" s="14" t="str">
        <f>iferror(average('Revenue Growth YoY'!AA15:AA18),"")</f>
        <v/>
      </c>
      <c r="AB18" s="14" t="str">
        <f>iferror(average('Revenue Growth YoY'!AB15:AB18),"")</f>
        <v/>
      </c>
      <c r="AC18" s="14" t="str">
        <f>iferror(average('Revenue Growth YoY'!AC15:AC18),"")</f>
        <v/>
      </c>
      <c r="AD18" s="12"/>
    </row>
    <row r="19">
      <c r="A19" s="15" t="s">
        <v>46</v>
      </c>
      <c r="B19" s="14" t="str">
        <f>iferror(average('Revenue Growth YoY'!B16:B19),"")</f>
        <v/>
      </c>
      <c r="C19" s="14">
        <f>iferror(average('Revenue Growth YoY'!C16:C19),"")</f>
        <v>1.157783853</v>
      </c>
      <c r="D19" s="14">
        <f>iferror(average('Revenue Growth YoY'!D16:D19),"")</f>
        <v>1.421051275</v>
      </c>
      <c r="E19" s="14"/>
      <c r="F19" s="14" t="str">
        <f>iferror(average('Revenue Growth YoY'!F16:F19),"")</f>
        <v/>
      </c>
      <c r="G19" s="14" t="str">
        <f>iferror(average('Revenue Growth YoY'!G16:G19),"")</f>
        <v/>
      </c>
      <c r="H19" s="14" t="str">
        <f>iferror(average('Revenue Growth YoY'!H16:H19),"")</f>
        <v/>
      </c>
      <c r="I19" s="14" t="str">
        <f>iferror(average('Revenue Growth YoY'!I16:I19),"")</f>
        <v/>
      </c>
      <c r="J19" s="14" t="str">
        <f>iferror(average('Revenue Growth YoY'!J16:J19),"")</f>
        <v/>
      </c>
      <c r="K19" s="14" t="str">
        <f>iferror(average('Revenue Growth YoY'!K16:K19),"")</f>
        <v/>
      </c>
      <c r="L19" s="14" t="str">
        <f>iferror(average('Revenue Growth YoY'!L16:L19),"")</f>
        <v/>
      </c>
      <c r="M19" s="14" t="str">
        <f>iferror(average('Revenue Growth YoY'!M16:M19),"")</f>
        <v/>
      </c>
      <c r="N19" s="14" t="str">
        <f>iferror(average('Revenue Growth YoY'!N16:N19),"")</f>
        <v/>
      </c>
      <c r="O19" s="14" t="str">
        <f>iferror(average('Revenue Growth YoY'!O16:O19),"")</f>
        <v/>
      </c>
      <c r="P19" s="14" t="str">
        <f>iferror(average('Revenue Growth YoY'!P16:P19),"")</f>
        <v/>
      </c>
      <c r="Q19" s="14" t="str">
        <f>iferror(average('Revenue Growth YoY'!Q16:Q19),"")</f>
        <v/>
      </c>
      <c r="R19" s="14"/>
      <c r="S19" s="14">
        <f>iferror(average('Revenue Growth YoY'!S16:S19),"")</f>
        <v>3.924463051</v>
      </c>
      <c r="T19" s="14" t="str">
        <f>iferror(average('Revenue Growth YoY'!T16:T19),"")</f>
        <v/>
      </c>
      <c r="U19" s="14" t="str">
        <f>iferror(average('Revenue Growth YoY'!U16:U19),"")</f>
        <v/>
      </c>
      <c r="V19" s="14" t="str">
        <f>iferror(average('Revenue Growth YoY'!V16:V19),"")</f>
        <v/>
      </c>
      <c r="W19" s="14">
        <f>iferror(average('Revenue Growth YoY'!W16:W19),"")</f>
        <v>1.642836917</v>
      </c>
      <c r="X19" s="14">
        <f>iferror(average('Revenue Growth YoY'!X16:X19),"")</f>
        <v>0.09301660237</v>
      </c>
      <c r="Y19" s="14" t="str">
        <f>iferror(average('Revenue Growth YoY'!Y16:Y19),"")</f>
        <v/>
      </c>
      <c r="Z19" s="14" t="str">
        <f>iferror(average('Revenue Growth YoY'!Z16:Z19),"")</f>
        <v/>
      </c>
      <c r="AA19" s="14" t="str">
        <f>iferror(average('Revenue Growth YoY'!AA16:AA19),"")</f>
        <v/>
      </c>
      <c r="AB19" s="14" t="str">
        <f>iferror(average('Revenue Growth YoY'!AB16:AB19),"")</f>
        <v/>
      </c>
      <c r="AC19" s="14" t="str">
        <f>iferror(average('Revenue Growth YoY'!AC16:AC19),"")</f>
        <v/>
      </c>
      <c r="AD19" s="12"/>
    </row>
    <row r="20">
      <c r="A20" s="15" t="s">
        <v>47</v>
      </c>
      <c r="B20" s="14" t="str">
        <f>iferror(average('Revenue Growth YoY'!B17:B20),"")</f>
        <v/>
      </c>
      <c r="C20" s="14">
        <f>iferror(average('Revenue Growth YoY'!C17:C20),"")</f>
        <v>0.7546838102</v>
      </c>
      <c r="D20" s="14">
        <f>iferror(average('Revenue Growth YoY'!D17:D20),"")</f>
        <v>1.396793885</v>
      </c>
      <c r="E20" s="14"/>
      <c r="F20" s="14" t="str">
        <f>iferror(average('Revenue Growth YoY'!F17:F20),"")</f>
        <v/>
      </c>
      <c r="G20" s="14" t="str">
        <f>iferror(average('Revenue Growth YoY'!G17:G20),"")</f>
        <v/>
      </c>
      <c r="H20" s="14" t="str">
        <f>iferror(average('Revenue Growth YoY'!H17:H20),"")</f>
        <v/>
      </c>
      <c r="I20" s="14" t="str">
        <f>iferror(average('Revenue Growth YoY'!I17:I20),"")</f>
        <v/>
      </c>
      <c r="J20" s="14" t="str">
        <f>iferror(average('Revenue Growth YoY'!J17:J20),"")</f>
        <v/>
      </c>
      <c r="K20" s="14" t="str">
        <f>iferror(average('Revenue Growth YoY'!K17:K20),"")</f>
        <v/>
      </c>
      <c r="L20" s="14" t="str">
        <f>iferror(average('Revenue Growth YoY'!L17:L20),"")</f>
        <v/>
      </c>
      <c r="M20" s="14" t="str">
        <f>iferror(average('Revenue Growth YoY'!M17:M20),"")</f>
        <v/>
      </c>
      <c r="N20" s="14" t="str">
        <f>iferror(average('Revenue Growth YoY'!N17:N20),"")</f>
        <v/>
      </c>
      <c r="O20" s="14" t="str">
        <f>iferror(average('Revenue Growth YoY'!O17:O20),"")</f>
        <v/>
      </c>
      <c r="P20" s="14" t="str">
        <f>iferror(average('Revenue Growth YoY'!P17:P20),"")</f>
        <v/>
      </c>
      <c r="Q20" s="14" t="str">
        <f>iferror(average('Revenue Growth YoY'!Q17:Q20),"")</f>
        <v/>
      </c>
      <c r="R20" s="14"/>
      <c r="S20" s="14">
        <f>iferror(average('Revenue Growth YoY'!S17:S20),"")</f>
        <v>3.924463051</v>
      </c>
      <c r="T20" s="14" t="str">
        <f>iferror(average('Revenue Growth YoY'!T17:T20),"")</f>
        <v/>
      </c>
      <c r="U20" s="14" t="str">
        <f>iferror(average('Revenue Growth YoY'!U17:U20),"")</f>
        <v/>
      </c>
      <c r="V20" s="14" t="str">
        <f>iferror(average('Revenue Growth YoY'!V17:V20),"")</f>
        <v/>
      </c>
      <c r="W20" s="14">
        <f>iferror(average('Revenue Growth YoY'!W17:W20),"")</f>
        <v>1.283975671</v>
      </c>
      <c r="X20" s="14">
        <f>iferror(average('Revenue Growth YoY'!X17:X20),"")</f>
        <v>0.06107363498</v>
      </c>
      <c r="Y20" s="14" t="str">
        <f>iferror(average('Revenue Growth YoY'!Y17:Y20),"")</f>
        <v/>
      </c>
      <c r="Z20" s="14" t="str">
        <f>iferror(average('Revenue Growth YoY'!Z17:Z20),"")</f>
        <v/>
      </c>
      <c r="AA20" s="14" t="str">
        <f>iferror(average('Revenue Growth YoY'!AA17:AA20),"")</f>
        <v/>
      </c>
      <c r="AB20" s="14" t="str">
        <f>iferror(average('Revenue Growth YoY'!AB17:AB20),"")</f>
        <v/>
      </c>
      <c r="AC20" s="14" t="str">
        <f>iferror(average('Revenue Growth YoY'!AC17:AC20),"")</f>
        <v/>
      </c>
      <c r="AD20" s="12"/>
    </row>
    <row r="21">
      <c r="A21" s="15" t="s">
        <v>48</v>
      </c>
      <c r="B21" s="14" t="str">
        <f>iferror(average('Revenue Growth YoY'!B18:B21),"")</f>
        <v/>
      </c>
      <c r="C21" s="14">
        <f>iferror(average('Revenue Growth YoY'!C18:C21),"")</f>
        <v>0.3515837677</v>
      </c>
      <c r="D21" s="14">
        <f>iferror(average('Revenue Growth YoY'!D18:D21),"")</f>
        <v>1.372536495</v>
      </c>
      <c r="E21" s="14"/>
      <c r="F21" s="14" t="str">
        <f>iferror(average('Revenue Growth YoY'!F18:F21),"")</f>
        <v/>
      </c>
      <c r="G21" s="14" t="str">
        <f>iferror(average('Revenue Growth YoY'!G18:G21),"")</f>
        <v/>
      </c>
      <c r="H21" s="14" t="str">
        <f>iferror(average('Revenue Growth YoY'!H18:H21),"")</f>
        <v/>
      </c>
      <c r="I21" s="14" t="str">
        <f>iferror(average('Revenue Growth YoY'!I18:I21),"")</f>
        <v/>
      </c>
      <c r="J21" s="14" t="str">
        <f>iferror(average('Revenue Growth YoY'!J18:J21),"")</f>
        <v/>
      </c>
      <c r="K21" s="14" t="str">
        <f>iferror(average('Revenue Growth YoY'!K18:K21),"")</f>
        <v/>
      </c>
      <c r="L21" s="14" t="str">
        <f>iferror(average('Revenue Growth YoY'!L18:L21),"")</f>
        <v/>
      </c>
      <c r="M21" s="14" t="str">
        <f>iferror(average('Revenue Growth YoY'!M18:M21),"")</f>
        <v/>
      </c>
      <c r="N21" s="14" t="str">
        <f>iferror(average('Revenue Growth YoY'!N18:N21),"")</f>
        <v/>
      </c>
      <c r="O21" s="14"/>
      <c r="P21" s="14" t="str">
        <f>iferror(average('Revenue Growth YoY'!P18:P21),"")</f>
        <v/>
      </c>
      <c r="Q21" s="14" t="str">
        <f>iferror(average('Revenue Growth YoY'!Q18:Q21),"")</f>
        <v/>
      </c>
      <c r="R21" s="14"/>
      <c r="S21" s="14">
        <f>iferror(average('Revenue Growth YoY'!S18:S21),"")</f>
        <v>3.924463051</v>
      </c>
      <c r="T21" s="14" t="str">
        <f>iferror(average('Revenue Growth YoY'!T18:T21),"")</f>
        <v/>
      </c>
      <c r="U21" s="14" t="str">
        <f>iferror(average('Revenue Growth YoY'!U18:U21),"")</f>
        <v/>
      </c>
      <c r="V21" s="14" t="str">
        <f>iferror(average('Revenue Growth YoY'!V18:V21),"")</f>
        <v/>
      </c>
      <c r="W21" s="14">
        <f>iferror(average('Revenue Growth YoY'!W18:W21),"")</f>
        <v>0.9251144251</v>
      </c>
      <c r="X21" s="14">
        <f>iferror(average('Revenue Growth YoY'!X18:X21),"")</f>
        <v>0.1286209294</v>
      </c>
      <c r="Y21" s="14" t="str">
        <f>iferror(average('Revenue Growth YoY'!Y18:Y21),"")</f>
        <v/>
      </c>
      <c r="Z21" s="14" t="str">
        <f>iferror(average('Revenue Growth YoY'!Z18:Z21),"")</f>
        <v/>
      </c>
      <c r="AA21" s="14" t="str">
        <f>iferror(average('Revenue Growth YoY'!AA18:AA21),"")</f>
        <v/>
      </c>
      <c r="AB21" s="14" t="str">
        <f>iferror(average('Revenue Growth YoY'!AB18:AB21),"")</f>
        <v/>
      </c>
      <c r="AC21" s="14" t="str">
        <f>iferror(average('Revenue Growth YoY'!AC18:AC21),"")</f>
        <v/>
      </c>
      <c r="AD21" s="12"/>
    </row>
    <row r="22">
      <c r="A22" s="15" t="s">
        <v>49</v>
      </c>
      <c r="B22" s="14" t="str">
        <f>iferror(average('Revenue Growth YoY'!B19:B22),"")</f>
        <v/>
      </c>
      <c r="C22" s="14">
        <f>iferror(average('Revenue Growth YoY'!C19:C22),"")</f>
        <v>-0.05151627494</v>
      </c>
      <c r="D22" s="14">
        <f>iferror(average('Revenue Growth YoY'!D19:D22),"")</f>
        <v>1.348279105</v>
      </c>
      <c r="E22" s="14">
        <f>iferror(average('Revenue Growth YoY'!E19:E22),"")</f>
        <v>5.812820513</v>
      </c>
      <c r="F22" s="14" t="str">
        <f>iferror(average('Revenue Growth YoY'!F19:F22),"")</f>
        <v/>
      </c>
      <c r="G22" s="14" t="str">
        <f>iferror(average('Revenue Growth YoY'!G19:G22),"")</f>
        <v/>
      </c>
      <c r="H22" s="14" t="str">
        <f>iferror(average('Revenue Growth YoY'!H19:H22),"")</f>
        <v/>
      </c>
      <c r="I22" s="14" t="str">
        <f>iferror(average('Revenue Growth YoY'!I19:I22),"")</f>
        <v/>
      </c>
      <c r="J22" s="14" t="str">
        <f>iferror(average('Revenue Growth YoY'!J19:J22),"")</f>
        <v/>
      </c>
      <c r="K22" s="14" t="str">
        <f>iferror(average('Revenue Growth YoY'!K19:K22),"")</f>
        <v/>
      </c>
      <c r="L22" s="14" t="str">
        <f>iferror(average('Revenue Growth YoY'!L19:L22),"")</f>
        <v/>
      </c>
      <c r="M22" s="14" t="str">
        <f>iferror(average('Revenue Growth YoY'!M19:M22),"")</f>
        <v/>
      </c>
      <c r="N22" s="14" t="str">
        <f>iferror(average('Revenue Growth YoY'!N19:N22),"")</f>
        <v/>
      </c>
      <c r="O22" s="14"/>
      <c r="P22" s="14" t="str">
        <f>iferror(average('Revenue Growth YoY'!P19:P22),"")</f>
        <v/>
      </c>
      <c r="Q22" s="14" t="str">
        <f>iferror(average('Revenue Growth YoY'!Q19:Q22),"")</f>
        <v/>
      </c>
      <c r="R22" s="14"/>
      <c r="S22" s="14">
        <f>iferror(average('Revenue Growth YoY'!S19:S22),"")</f>
        <v>3.924463051</v>
      </c>
      <c r="T22" s="14" t="str">
        <f>iferror(average('Revenue Growth YoY'!T19:T22),"")</f>
        <v/>
      </c>
      <c r="U22" s="14" t="str">
        <f>iferror(average('Revenue Growth YoY'!U19:U22),"")</f>
        <v/>
      </c>
      <c r="V22" s="14" t="str">
        <f>iferror(average('Revenue Growth YoY'!V19:V22),"")</f>
        <v/>
      </c>
      <c r="W22" s="14">
        <f>iferror(average('Revenue Growth YoY'!W19:W22),"")</f>
        <v>0.566253179</v>
      </c>
      <c r="X22" s="14">
        <f>iferror(average('Revenue Growth YoY'!X19:X22),"")</f>
        <v>0.1961682238</v>
      </c>
      <c r="Y22" s="14" t="str">
        <f>iferror(average('Revenue Growth YoY'!Y19:Y22),"")</f>
        <v/>
      </c>
      <c r="Z22" s="14" t="str">
        <f>iferror(average('Revenue Growth YoY'!Z19:Z22),"")</f>
        <v/>
      </c>
      <c r="AA22" s="14" t="str">
        <f>iferror(average('Revenue Growth YoY'!AA19:AA22),"")</f>
        <v/>
      </c>
      <c r="AB22" s="14" t="str">
        <f>iferror(average('Revenue Growth YoY'!AB19:AB22),"")</f>
        <v/>
      </c>
      <c r="AC22" s="14" t="str">
        <f>iferror(average('Revenue Growth YoY'!AC19:AC22),"")</f>
        <v/>
      </c>
      <c r="AD22" s="12"/>
    </row>
    <row r="23">
      <c r="A23" s="15" t="s">
        <v>50</v>
      </c>
      <c r="B23" s="14" t="str">
        <f>iferror(average('Revenue Growth YoY'!B20:B23),"")</f>
        <v/>
      </c>
      <c r="C23" s="14">
        <f>iferror(average('Revenue Growth YoY'!C20:C23),"")</f>
        <v>-0.07451230104</v>
      </c>
      <c r="D23" s="14">
        <f>iferror(average('Revenue Growth YoY'!D20:D23),"")</f>
        <v>2.447685569</v>
      </c>
      <c r="E23" s="14">
        <f>iferror(average('Revenue Growth YoY'!E20:E23),"")</f>
        <v>4.684041429</v>
      </c>
      <c r="F23" s="14" t="str">
        <f>iferror(average('Revenue Growth YoY'!F20:F23),"")</f>
        <v/>
      </c>
      <c r="G23" s="14" t="str">
        <f>iferror(average('Revenue Growth YoY'!G20:G23),"")</f>
        <v/>
      </c>
      <c r="H23" s="14" t="str">
        <f>iferror(average('Revenue Growth YoY'!H20:H23),"")</f>
        <v/>
      </c>
      <c r="I23" s="14" t="str">
        <f>iferror(average('Revenue Growth YoY'!I20:I23),"")</f>
        <v/>
      </c>
      <c r="J23" s="14" t="str">
        <f>iferror(average('Revenue Growth YoY'!J20:J23),"")</f>
        <v/>
      </c>
      <c r="K23" s="14" t="str">
        <f>iferror(average('Revenue Growth YoY'!K20:K23),"")</f>
        <v/>
      </c>
      <c r="L23" s="14" t="str">
        <f>iferror(average('Revenue Growth YoY'!L20:L23),"")</f>
        <v/>
      </c>
      <c r="M23" s="14" t="str">
        <f>iferror(average('Revenue Growth YoY'!M20:M23),"")</f>
        <v/>
      </c>
      <c r="N23" s="14" t="str">
        <f>iferror(average('Revenue Growth YoY'!N20:N23),"")</f>
        <v/>
      </c>
      <c r="O23" s="14"/>
      <c r="P23" s="14" t="str">
        <f>iferror(average('Revenue Growth YoY'!P20:P23),"")</f>
        <v/>
      </c>
      <c r="Q23" s="14" t="str">
        <f>iferror(average('Revenue Growth YoY'!Q20:Q23),"")</f>
        <v/>
      </c>
      <c r="R23" s="14"/>
      <c r="S23" s="14">
        <f>iferror(average('Revenue Growth YoY'!S20:S23),"")</f>
        <v>3.199510659</v>
      </c>
      <c r="T23" s="14" t="str">
        <f>iferror(average('Revenue Growth YoY'!T20:T23),"")</f>
        <v/>
      </c>
      <c r="U23" s="14" t="str">
        <f>iferror(average('Revenue Growth YoY'!U20:U23),"")</f>
        <v/>
      </c>
      <c r="V23" s="14">
        <f>iferror(average('Revenue Growth YoY'!V20:V23),"")</f>
        <v>3.043729696</v>
      </c>
      <c r="W23" s="14">
        <f>iferror(average('Revenue Growth YoY'!W20:W23),"")</f>
        <v>0.566253179</v>
      </c>
      <c r="X23" s="14">
        <f>iferror(average('Revenue Growth YoY'!X20:X23),"")</f>
        <v>0.2637155182</v>
      </c>
      <c r="Y23" s="14" t="str">
        <f>iferror(average('Revenue Growth YoY'!Y20:Y23),"")</f>
        <v/>
      </c>
      <c r="Z23" s="14" t="str">
        <f>iferror(average('Revenue Growth YoY'!Z20:Z23),"")</f>
        <v/>
      </c>
      <c r="AA23" s="14" t="str">
        <f>iferror(average('Revenue Growth YoY'!AA20:AA23),"")</f>
        <v/>
      </c>
      <c r="AB23" s="14" t="str">
        <f>iferror(average('Revenue Growth YoY'!AB20:AB23),"")</f>
        <v/>
      </c>
      <c r="AC23" s="14" t="str">
        <f>iferror(average('Revenue Growth YoY'!AC20:AC23),"")</f>
        <v/>
      </c>
      <c r="AD23" s="12"/>
    </row>
    <row r="24">
      <c r="A24" s="15" t="s">
        <v>51</v>
      </c>
      <c r="B24" s="14" t="str">
        <f>iferror(average('Revenue Growth YoY'!B21:B24),"")</f>
        <v/>
      </c>
      <c r="C24" s="14">
        <f>iferror(average('Revenue Growth YoY'!C21:C24),"")</f>
        <v>-0.09750832714</v>
      </c>
      <c r="D24" s="14">
        <f>iferror(average('Revenue Growth YoY'!D21:D24),"")</f>
        <v>3.547092032</v>
      </c>
      <c r="E24" s="14">
        <f>iferror(average('Revenue Growth YoY'!E21:E24),"")</f>
        <v>3.555262345</v>
      </c>
      <c r="F24" s="14" t="str">
        <f>iferror(average('Revenue Growth YoY'!F21:F24),"")</f>
        <v/>
      </c>
      <c r="G24" s="14" t="str">
        <f>iferror(average('Revenue Growth YoY'!G21:G24),"")</f>
        <v/>
      </c>
      <c r="H24" s="14" t="str">
        <f>iferror(average('Revenue Growth YoY'!H21:H24),"")</f>
        <v/>
      </c>
      <c r="I24" s="14" t="str">
        <f>iferror(average('Revenue Growth YoY'!I21:I24),"")</f>
        <v/>
      </c>
      <c r="J24" s="14" t="str">
        <f>iferror(average('Revenue Growth YoY'!J21:J24),"")</f>
        <v/>
      </c>
      <c r="K24" s="14" t="str">
        <f>iferror(average('Revenue Growth YoY'!K21:K24),"")</f>
        <v/>
      </c>
      <c r="L24" s="14" t="str">
        <f>iferror(average('Revenue Growth YoY'!L21:L24),"")</f>
        <v/>
      </c>
      <c r="M24" s="14" t="str">
        <f>iferror(average('Revenue Growth YoY'!M21:M24),"")</f>
        <v/>
      </c>
      <c r="N24" s="14" t="str">
        <f>iferror(average('Revenue Growth YoY'!N21:N24),"")</f>
        <v/>
      </c>
      <c r="O24" s="14"/>
      <c r="P24" s="14" t="str">
        <f>iferror(average('Revenue Growth YoY'!P21:P24),"")</f>
        <v/>
      </c>
      <c r="Q24" s="14" t="str">
        <f>iferror(average('Revenue Growth YoY'!Q21:Q24),"")</f>
        <v/>
      </c>
      <c r="R24" s="14"/>
      <c r="S24" s="14">
        <f>iferror(average('Revenue Growth YoY'!S21:S24),"")</f>
        <v>2.474558267</v>
      </c>
      <c r="T24" s="14" t="str">
        <f>iferror(average('Revenue Growth YoY'!T21:T24),"")</f>
        <v/>
      </c>
      <c r="U24" s="14" t="str">
        <f>iferror(average('Revenue Growth YoY'!U21:U24),"")</f>
        <v/>
      </c>
      <c r="V24" s="14">
        <f>iferror(average('Revenue Growth YoY'!V21:V24),"")</f>
        <v>3.043729696</v>
      </c>
      <c r="W24" s="14">
        <f>iferror(average('Revenue Growth YoY'!W21:W24),"")</f>
        <v>0.566253179</v>
      </c>
      <c r="X24" s="14">
        <f>iferror(average('Revenue Growth YoY'!X21:X24),"")</f>
        <v>0.3312628127</v>
      </c>
      <c r="Y24" s="14" t="str">
        <f>iferror(average('Revenue Growth YoY'!Y21:Y24),"")</f>
        <v/>
      </c>
      <c r="Z24" s="14" t="str">
        <f>iferror(average('Revenue Growth YoY'!Z21:Z24),"")</f>
        <v/>
      </c>
      <c r="AA24" s="14" t="str">
        <f>iferror(average('Revenue Growth YoY'!AA21:AA24),"")</f>
        <v/>
      </c>
      <c r="AB24" s="14" t="str">
        <f>iferror(average('Revenue Growth YoY'!AB21:AB24),"")</f>
        <v/>
      </c>
      <c r="AC24" s="14" t="str">
        <f>iferror(average('Revenue Growth YoY'!AC21:AC24),"")</f>
        <v/>
      </c>
      <c r="AD24" s="12"/>
    </row>
    <row r="25">
      <c r="A25" s="15" t="s">
        <v>52</v>
      </c>
      <c r="B25" s="14" t="str">
        <f>iferror(average('Revenue Growth YoY'!B22:B25),"")</f>
        <v/>
      </c>
      <c r="C25" s="14">
        <f>iferror(average('Revenue Growth YoY'!C22:C25),"")</f>
        <v>-0.1205043532</v>
      </c>
      <c r="D25" s="14">
        <f>iferror(average('Revenue Growth YoY'!D22:D25),"")</f>
        <v>4.646498496</v>
      </c>
      <c r="E25" s="14">
        <f>iferror(average('Revenue Growth YoY'!E22:E25),"")</f>
        <v>2.426483261</v>
      </c>
      <c r="F25" s="14" t="str">
        <f>iferror(average('Revenue Growth YoY'!F22:F25),"")</f>
        <v/>
      </c>
      <c r="G25" s="14" t="str">
        <f>iferror(average('Revenue Growth YoY'!G22:G25),"")</f>
        <v/>
      </c>
      <c r="H25" s="14" t="str">
        <f>iferror(average('Revenue Growth YoY'!H22:H25),"")</f>
        <v/>
      </c>
      <c r="I25" s="14" t="str">
        <f>iferror(average('Revenue Growth YoY'!I22:I25),"")</f>
        <v/>
      </c>
      <c r="J25" s="14" t="str">
        <f>iferror(average('Revenue Growth YoY'!J22:J25),"")</f>
        <v/>
      </c>
      <c r="K25" s="14" t="str">
        <f>iferror(average('Revenue Growth YoY'!K22:K25),"")</f>
        <v/>
      </c>
      <c r="L25" s="14" t="str">
        <f>iferror(average('Revenue Growth YoY'!L22:L25),"")</f>
        <v/>
      </c>
      <c r="M25" s="14" t="str">
        <f>iferror(average('Revenue Growth YoY'!M22:M25),"")</f>
        <v/>
      </c>
      <c r="N25" s="14" t="str">
        <f>iferror(average('Revenue Growth YoY'!N22:N25),"")</f>
        <v/>
      </c>
      <c r="O25" s="14">
        <f>iferror(average('Revenue Growth YoY'!O22:O25),"")</f>
        <v>2.128652675</v>
      </c>
      <c r="P25" s="14" t="str">
        <f>iferror(average('Revenue Growth YoY'!P22:P25),"")</f>
        <v/>
      </c>
      <c r="Q25" s="14" t="str">
        <f>iferror(average('Revenue Growth YoY'!Q22:Q25),"")</f>
        <v/>
      </c>
      <c r="R25" s="14"/>
      <c r="S25" s="14">
        <f>iferror(average('Revenue Growth YoY'!S22:S25),"")</f>
        <v>1.749605875</v>
      </c>
      <c r="T25" s="14" t="str">
        <f>iferror(average('Revenue Growth YoY'!T22:T25),"")</f>
        <v/>
      </c>
      <c r="U25" s="14" t="str">
        <f>iferror(average('Revenue Growth YoY'!U22:U25),"")</f>
        <v/>
      </c>
      <c r="V25" s="14">
        <f>iferror(average('Revenue Growth YoY'!V22:V25),"")</f>
        <v>3.043729696</v>
      </c>
      <c r="W25" s="14">
        <f>iferror(average('Revenue Growth YoY'!W22:W25),"")</f>
        <v>0.566253179</v>
      </c>
      <c r="X25" s="14">
        <f>iferror(average('Revenue Growth YoY'!X22:X25),"")</f>
        <v>0.04817111479</v>
      </c>
      <c r="Y25" s="14" t="str">
        <f>iferror(average('Revenue Growth YoY'!Y22:Y25),"")</f>
        <v/>
      </c>
      <c r="Z25" s="14" t="str">
        <f>iferror(average('Revenue Growth YoY'!Z22:Z25),"")</f>
        <v/>
      </c>
      <c r="AA25" s="14" t="str">
        <f>iferror(average('Revenue Growth YoY'!AA22:AA25),"")</f>
        <v/>
      </c>
      <c r="AB25" s="14" t="str">
        <f>iferror(average('Revenue Growth YoY'!AB22:AB25),"")</f>
        <v/>
      </c>
      <c r="AC25" s="14" t="str">
        <f>iferror(average('Revenue Growth YoY'!AC22:AC25),"")</f>
        <v/>
      </c>
      <c r="AD25" s="12"/>
    </row>
    <row r="26">
      <c r="A26" s="15" t="s">
        <v>53</v>
      </c>
      <c r="B26" s="14" t="str">
        <f>iferror(average('Revenue Growth YoY'!B23:B26),"")</f>
        <v/>
      </c>
      <c r="C26" s="14">
        <f>iferror(average('Revenue Growth YoY'!C23:C26),"")</f>
        <v>-0.1435003793</v>
      </c>
      <c r="D26" s="14">
        <f>iferror(average('Revenue Growth YoY'!D23:D26),"")</f>
        <v>5.745904959</v>
      </c>
      <c r="E26" s="14">
        <f>iferror(average('Revenue Growth YoY'!E23:E26),"")</f>
        <v>1.297704178</v>
      </c>
      <c r="F26" s="14" t="str">
        <f>iferror(average('Revenue Growth YoY'!F23:F26),"")</f>
        <v/>
      </c>
      <c r="G26" s="14" t="str">
        <f>iferror(average('Revenue Growth YoY'!G23:G26),"")</f>
        <v/>
      </c>
      <c r="H26" s="14" t="str">
        <f>iferror(average('Revenue Growth YoY'!H23:H26),"")</f>
        <v/>
      </c>
      <c r="I26" s="14" t="str">
        <f>iferror(average('Revenue Growth YoY'!I23:I26),"")</f>
        <v/>
      </c>
      <c r="J26" s="14" t="str">
        <f>iferror(average('Revenue Growth YoY'!J23:J26),"")</f>
        <v/>
      </c>
      <c r="K26" s="14" t="str">
        <f>iferror(average('Revenue Growth YoY'!K23:K26),"")</f>
        <v/>
      </c>
      <c r="L26" s="14" t="str">
        <f>iferror(average('Revenue Growth YoY'!L23:L26),"")</f>
        <v/>
      </c>
      <c r="M26" s="14" t="str">
        <f>iferror(average('Revenue Growth YoY'!M23:M26),"")</f>
        <v/>
      </c>
      <c r="N26" s="14" t="str">
        <f>iferror(average('Revenue Growth YoY'!N23:N26),"")</f>
        <v/>
      </c>
      <c r="O26" s="14">
        <f>iferror(average('Revenue Growth YoY'!O23:O26),"")</f>
        <v>1.781108509</v>
      </c>
      <c r="P26" s="14" t="str">
        <f>iferror(average('Revenue Growth YoY'!P23:P26),"")</f>
        <v/>
      </c>
      <c r="Q26" s="14" t="str">
        <f>iferror(average('Revenue Growth YoY'!Q23:Q26),"")</f>
        <v/>
      </c>
      <c r="R26" s="14"/>
      <c r="S26" s="14">
        <f>iferror(average('Revenue Growth YoY'!S23:S26),"")</f>
        <v>1.024653484</v>
      </c>
      <c r="T26" s="14" t="str">
        <f>iferror(average('Revenue Growth YoY'!T23:T26),"")</f>
        <v/>
      </c>
      <c r="U26" s="14" t="str">
        <f>iferror(average('Revenue Growth YoY'!U23:U26),"")</f>
        <v/>
      </c>
      <c r="V26" s="14">
        <f>iferror(average('Revenue Growth YoY'!V23:V26),"")</f>
        <v>3.043729696</v>
      </c>
      <c r="W26" s="14" t="str">
        <f>iferror(average('Revenue Growth YoY'!W23:W26),"")</f>
        <v/>
      </c>
      <c r="X26" s="14">
        <f>iferror(average('Revenue Growth YoY'!X23:X26),"")</f>
        <v>-0.2349205831</v>
      </c>
      <c r="Y26" s="14" t="str">
        <f>iferror(average('Revenue Growth YoY'!Y23:Y26),"")</f>
        <v/>
      </c>
      <c r="Z26" s="14" t="str">
        <f>iferror(average('Revenue Growth YoY'!Z23:Z26),"")</f>
        <v/>
      </c>
      <c r="AA26" s="14" t="str">
        <f>iferror(average('Revenue Growth YoY'!AA23:AA26),"")</f>
        <v/>
      </c>
      <c r="AB26" s="14" t="str">
        <f>iferror(average('Revenue Growth YoY'!AB23:AB26),"")</f>
        <v/>
      </c>
      <c r="AC26" s="14" t="str">
        <f>iferror(average('Revenue Growth YoY'!AC23:AC26),"")</f>
        <v/>
      </c>
      <c r="AD26" s="12"/>
    </row>
    <row r="27">
      <c r="A27" s="15" t="s">
        <v>54</v>
      </c>
      <c r="B27" s="14" t="str">
        <f>iferror(average('Revenue Growth YoY'!B24:B27),"")</f>
        <v/>
      </c>
      <c r="C27" s="14">
        <f>iferror(average('Revenue Growth YoY'!C24:C27),"")</f>
        <v>-0.1424858274</v>
      </c>
      <c r="D27" s="14">
        <f>iferror(average('Revenue Growth YoY'!D24:D27),"")</f>
        <v>4.449638182</v>
      </c>
      <c r="E27" s="14">
        <f>iferror(average('Revenue Growth YoY'!E24:E27),"")</f>
        <v>1.164207699</v>
      </c>
      <c r="F27" s="14" t="str">
        <f>iferror(average('Revenue Growth YoY'!F24:F27),"")</f>
        <v/>
      </c>
      <c r="G27" s="14" t="str">
        <f>iferror(average('Revenue Growth YoY'!G24:G27),"")</f>
        <v/>
      </c>
      <c r="H27" s="14" t="str">
        <f>iferror(average('Revenue Growth YoY'!H24:H27),"")</f>
        <v/>
      </c>
      <c r="I27" s="14" t="str">
        <f>iferror(average('Revenue Growth YoY'!I24:I27),"")</f>
        <v/>
      </c>
      <c r="J27" s="14" t="str">
        <f>iferror(average('Revenue Growth YoY'!J24:J27),"")</f>
        <v/>
      </c>
      <c r="K27" s="14" t="str">
        <f>iferror(average('Revenue Growth YoY'!K24:K27),"")</f>
        <v/>
      </c>
      <c r="L27" s="14" t="str">
        <f>iferror(average('Revenue Growth YoY'!L24:L27),"")</f>
        <v/>
      </c>
      <c r="M27" s="14" t="str">
        <f>iferror(average('Revenue Growth YoY'!M24:M27),"")</f>
        <v/>
      </c>
      <c r="N27" s="14" t="str">
        <f>iferror(average('Revenue Growth YoY'!N24:N27),"")</f>
        <v/>
      </c>
      <c r="O27" s="14">
        <f>iferror(average('Revenue Growth YoY'!O24:O27),"")</f>
        <v>1.25979226</v>
      </c>
      <c r="P27" s="14" t="str">
        <f>iferror(average('Revenue Growth YoY'!P24:P27),"")</f>
        <v/>
      </c>
      <c r="Q27" s="14" t="str">
        <f>iferror(average('Revenue Growth YoY'!Q24:Q27),"")</f>
        <v/>
      </c>
      <c r="R27" s="14"/>
      <c r="S27" s="14">
        <f>iferror(average('Revenue Growth YoY'!S24:S27),"")</f>
        <v>2.137536428</v>
      </c>
      <c r="T27" s="14" t="str">
        <f>iferror(average('Revenue Growth YoY'!T24:T27),"")</f>
        <v/>
      </c>
      <c r="U27" s="14" t="str">
        <f>iferror(average('Revenue Growth YoY'!U24:U27),"")</f>
        <v/>
      </c>
      <c r="V27" s="14">
        <f>iferror(average('Revenue Growth YoY'!V24:V27),"")</f>
        <v>2.377279068</v>
      </c>
      <c r="W27" s="14" t="str">
        <f>iferror(average('Revenue Growth YoY'!W24:W27),"")</f>
        <v/>
      </c>
      <c r="X27" s="14">
        <f>iferror(average('Revenue Growth YoY'!X24:X27),"")</f>
        <v>-0.5180122809</v>
      </c>
      <c r="Y27" s="14" t="str">
        <f>iferror(average('Revenue Growth YoY'!Y24:Y27),"")</f>
        <v/>
      </c>
      <c r="Z27" s="14" t="str">
        <f>iferror(average('Revenue Growth YoY'!Z24:Z27),"")</f>
        <v/>
      </c>
      <c r="AA27" s="14" t="str">
        <f>iferror(average('Revenue Growth YoY'!AA24:AA27),"")</f>
        <v/>
      </c>
      <c r="AB27" s="14" t="str">
        <f>iferror(average('Revenue Growth YoY'!AB24:AB27),"")</f>
        <v/>
      </c>
      <c r="AC27" s="14" t="str">
        <f>iferror(average('Revenue Growth YoY'!AC24:AC27),"")</f>
        <v/>
      </c>
      <c r="AD27" s="12"/>
    </row>
    <row r="28">
      <c r="A28" s="15" t="s">
        <v>55</v>
      </c>
      <c r="B28" s="14" t="str">
        <f>iferror(average('Revenue Growth YoY'!B25:B28),"")</f>
        <v/>
      </c>
      <c r="C28" s="14">
        <f>iferror(average('Revenue Growth YoY'!C25:C28),"")</f>
        <v>-0.1414712754</v>
      </c>
      <c r="D28" s="14">
        <f>iferror(average('Revenue Growth YoY'!D25:D28),"")</f>
        <v>3.153371405</v>
      </c>
      <c r="E28" s="14">
        <f>iferror(average('Revenue Growth YoY'!E25:E28),"")</f>
        <v>1.030711221</v>
      </c>
      <c r="F28" s="14" t="str">
        <f>iferror(average('Revenue Growth YoY'!F25:F28),"")</f>
        <v/>
      </c>
      <c r="G28" s="14" t="str">
        <f>iferror(average('Revenue Growth YoY'!G25:G28),"")</f>
        <v/>
      </c>
      <c r="H28" s="14" t="str">
        <f>iferror(average('Revenue Growth YoY'!H25:H28),"")</f>
        <v/>
      </c>
      <c r="I28" s="14" t="str">
        <f>iferror(average('Revenue Growth YoY'!I25:I28),"")</f>
        <v/>
      </c>
      <c r="J28" s="14" t="str">
        <f>iferror(average('Revenue Growth YoY'!J25:J28),"")</f>
        <v/>
      </c>
      <c r="K28" s="14" t="str">
        <f>iferror(average('Revenue Growth YoY'!K25:K28),"")</f>
        <v/>
      </c>
      <c r="L28" s="14" t="str">
        <f>iferror(average('Revenue Growth YoY'!L25:L28),"")</f>
        <v/>
      </c>
      <c r="M28" s="14" t="str">
        <f>iferror(average('Revenue Growth YoY'!M25:M28),"")</f>
        <v/>
      </c>
      <c r="N28" s="14" t="str">
        <f>iferror(average('Revenue Growth YoY'!N25:N28),"")</f>
        <v/>
      </c>
      <c r="O28" s="14">
        <f>iferror(average('Revenue Growth YoY'!O25:O28),"")</f>
        <v>0.7384760113</v>
      </c>
      <c r="P28" s="14" t="str">
        <f>iferror(average('Revenue Growth YoY'!P25:P28),"")</f>
        <v/>
      </c>
      <c r="Q28" s="14" t="str">
        <f>iferror(average('Revenue Growth YoY'!Q25:Q28),"")</f>
        <v/>
      </c>
      <c r="R28" s="14"/>
      <c r="S28" s="14">
        <f>iferror(average('Revenue Growth YoY'!S25:S28),"")</f>
        <v>3.250419372</v>
      </c>
      <c r="T28" s="14" t="str">
        <f>iferror(average('Revenue Growth YoY'!T25:T28),"")</f>
        <v/>
      </c>
      <c r="U28" s="14" t="str">
        <f>iferror(average('Revenue Growth YoY'!U25:U28),"")</f>
        <v/>
      </c>
      <c r="V28" s="14">
        <f>iferror(average('Revenue Growth YoY'!V25:V28),"")</f>
        <v>1.71082844</v>
      </c>
      <c r="W28" s="14" t="str">
        <f>iferror(average('Revenue Growth YoY'!W25:W28),"")</f>
        <v/>
      </c>
      <c r="X28" s="14">
        <f>iferror(average('Revenue Growth YoY'!X25:X28),"")</f>
        <v>-0.8011039788</v>
      </c>
      <c r="Y28" s="14" t="str">
        <f>iferror(average('Revenue Growth YoY'!Y25:Y28),"")</f>
        <v/>
      </c>
      <c r="Z28" s="14" t="str">
        <f>iferror(average('Revenue Growth YoY'!Z25:Z28),"")</f>
        <v/>
      </c>
      <c r="AA28" s="14" t="str">
        <f>iferror(average('Revenue Growth YoY'!AA25:AA28),"")</f>
        <v/>
      </c>
      <c r="AB28" s="14" t="str">
        <f>iferror(average('Revenue Growth YoY'!AB25:AB28),"")</f>
        <v/>
      </c>
      <c r="AC28" s="14" t="str">
        <f>iferror(average('Revenue Growth YoY'!AC25:AC28),"")</f>
        <v/>
      </c>
      <c r="AD28" s="12"/>
    </row>
    <row r="29">
      <c r="A29" s="15" t="s">
        <v>56</v>
      </c>
      <c r="B29" s="14" t="str">
        <f>iferror(average('Revenue Growth YoY'!B26:B29),"")</f>
        <v/>
      </c>
      <c r="C29" s="14">
        <f>iferror(average('Revenue Growth YoY'!C26:C29),"")</f>
        <v>-0.1404567235</v>
      </c>
      <c r="D29" s="14">
        <f>iferror(average('Revenue Growth YoY'!D26:D29),"")</f>
        <v>1.857104627</v>
      </c>
      <c r="E29" s="14">
        <f>iferror(average('Revenue Growth YoY'!E26:E29),"")</f>
        <v>0.8972147422</v>
      </c>
      <c r="F29" s="14" t="str">
        <f>iferror(average('Revenue Growth YoY'!F26:F29),"")</f>
        <v/>
      </c>
      <c r="G29" s="14" t="str">
        <f>iferror(average('Revenue Growth YoY'!G26:G29),"")</f>
        <v/>
      </c>
      <c r="H29" s="14" t="str">
        <f>iferror(average('Revenue Growth YoY'!H26:H29),"")</f>
        <v/>
      </c>
      <c r="I29" s="14" t="str">
        <f>iferror(average('Revenue Growth YoY'!I26:I29),"")</f>
        <v/>
      </c>
      <c r="J29" s="14" t="str">
        <f>iferror(average('Revenue Growth YoY'!J26:J29),"")</f>
        <v/>
      </c>
      <c r="K29" s="14" t="str">
        <f>iferror(average('Revenue Growth YoY'!K26:K29),"")</f>
        <v/>
      </c>
      <c r="L29" s="14" t="str">
        <f>iferror(average('Revenue Growth YoY'!L26:L29),"")</f>
        <v/>
      </c>
      <c r="M29" s="14" t="str">
        <f>iferror(average('Revenue Growth YoY'!M26:M29),"")</f>
        <v/>
      </c>
      <c r="N29" s="14" t="str">
        <f>iferror(average('Revenue Growth YoY'!N26:N29),"")</f>
        <v/>
      </c>
      <c r="O29" s="14">
        <f>iferror(average('Revenue Growth YoY'!O26:O29),"")</f>
        <v>0.5719847141</v>
      </c>
      <c r="P29" s="14" t="str">
        <f>iferror(average('Revenue Growth YoY'!P26:P29),"")</f>
        <v/>
      </c>
      <c r="Q29" s="14" t="str">
        <f>iferror(average('Revenue Growth YoY'!Q26:Q29),"")</f>
        <v/>
      </c>
      <c r="R29" s="14"/>
      <c r="S29" s="14">
        <f>iferror(average('Revenue Growth YoY'!S26:S29),"")</f>
        <v>4.363302316</v>
      </c>
      <c r="T29" s="14" t="str">
        <f>iferror(average('Revenue Growth YoY'!T26:T29),"")</f>
        <v/>
      </c>
      <c r="U29" s="14" t="str">
        <f>iferror(average('Revenue Growth YoY'!U26:U29),"")</f>
        <v/>
      </c>
      <c r="V29" s="14">
        <f>iferror(average('Revenue Growth YoY'!V26:V29),"")</f>
        <v>1.044377812</v>
      </c>
      <c r="W29" s="14" t="str">
        <f>iferror(average('Revenue Growth YoY'!W26:W29),"")</f>
        <v/>
      </c>
      <c r="X29" s="14">
        <f>iferror(average('Revenue Growth YoY'!X26:X29),"")</f>
        <v>-0.521120605</v>
      </c>
      <c r="Y29" s="14" t="str">
        <f>iferror(average('Revenue Growth YoY'!Y26:Y29),"")</f>
        <v/>
      </c>
      <c r="Z29" s="14" t="str">
        <f>iferror(average('Revenue Growth YoY'!Z26:Z29),"")</f>
        <v/>
      </c>
      <c r="AA29" s="14" t="str">
        <f>iferror(average('Revenue Growth YoY'!AA26:AA29),"")</f>
        <v/>
      </c>
      <c r="AB29" s="14" t="str">
        <f>iferror(average('Revenue Growth YoY'!AB26:AB29),"")</f>
        <v/>
      </c>
      <c r="AC29" s="14" t="str">
        <f>iferror(average('Revenue Growth YoY'!AC26:AC29),"")</f>
        <v/>
      </c>
      <c r="AD29" s="12"/>
    </row>
    <row r="30">
      <c r="A30" s="15" t="s">
        <v>57</v>
      </c>
      <c r="B30" s="14" t="str">
        <f>iferror(average('Revenue Growth YoY'!B27:B30),"")</f>
        <v/>
      </c>
      <c r="C30" s="14">
        <f>iferror(average('Revenue Growth YoY'!C27:C30),"")</f>
        <v>-0.1394421715</v>
      </c>
      <c r="D30" s="14">
        <f>iferror(average('Revenue Growth YoY'!D27:D30),"")</f>
        <v>0.56083785</v>
      </c>
      <c r="E30" s="14">
        <f>iferror(average('Revenue Growth YoY'!E27:E30),"")</f>
        <v>0.7637182637</v>
      </c>
      <c r="F30" s="14" t="str">
        <f>iferror(average('Revenue Growth YoY'!F27:F30),"")</f>
        <v/>
      </c>
      <c r="G30" s="14" t="str">
        <f>iferror(average('Revenue Growth YoY'!G27:G30),"")</f>
        <v/>
      </c>
      <c r="H30" s="14" t="str">
        <f>iferror(average('Revenue Growth YoY'!H27:H30),"")</f>
        <v/>
      </c>
      <c r="I30" s="14" t="str">
        <f>iferror(average('Revenue Growth YoY'!I27:I30),"")</f>
        <v/>
      </c>
      <c r="J30" s="14" t="str">
        <f>iferror(average('Revenue Growth YoY'!J27:J30),"")</f>
        <v/>
      </c>
      <c r="K30" s="14" t="str">
        <f>iferror(average('Revenue Growth YoY'!K27:K30),"")</f>
        <v/>
      </c>
      <c r="L30" s="14" t="str">
        <f>iferror(average('Revenue Growth YoY'!L27:L30),"")</f>
        <v/>
      </c>
      <c r="M30" s="14" t="str">
        <f>iferror(average('Revenue Growth YoY'!M27:M30),"")</f>
        <v/>
      </c>
      <c r="N30" s="14" t="str">
        <f>iferror(average('Revenue Growth YoY'!N27:N30),"")</f>
        <v/>
      </c>
      <c r="O30" s="14">
        <f>iferror(average('Revenue Growth YoY'!O27:O30),"")</f>
        <v>0.4054934169</v>
      </c>
      <c r="P30" s="14" t="str">
        <f>iferror(average('Revenue Growth YoY'!P27:P30),"")</f>
        <v/>
      </c>
      <c r="Q30" s="14" t="str">
        <f>iferror(average('Revenue Growth YoY'!Q27:Q30),"")</f>
        <v/>
      </c>
      <c r="R30" s="14"/>
      <c r="S30" s="14">
        <f>iferror(average('Revenue Growth YoY'!S27:S30),"")</f>
        <v>5.47618526</v>
      </c>
      <c r="T30" s="14" t="str">
        <f>iferror(average('Revenue Growth YoY'!T27:T30),"")</f>
        <v/>
      </c>
      <c r="U30" s="14" t="str">
        <f>iferror(average('Revenue Growth YoY'!U27:U30),"")</f>
        <v/>
      </c>
      <c r="V30" s="14">
        <f>iferror(average('Revenue Growth YoY'!V27:V30),"")</f>
        <v>0.3779271836</v>
      </c>
      <c r="W30" s="14" t="str">
        <f>iferror(average('Revenue Growth YoY'!W27:W30),"")</f>
        <v/>
      </c>
      <c r="X30" s="14">
        <f>iferror(average('Revenue Growth YoY'!X27:X30),"")</f>
        <v>-0.2411372311</v>
      </c>
      <c r="Y30" s="14" t="str">
        <f>iferror(average('Revenue Growth YoY'!Y27:Y30),"")</f>
        <v/>
      </c>
      <c r="Z30" s="14" t="str">
        <f>iferror(average('Revenue Growth YoY'!Z27:Z30),"")</f>
        <v/>
      </c>
      <c r="AA30" s="14" t="str">
        <f>iferror(average('Revenue Growth YoY'!AA27:AA30),"")</f>
        <v/>
      </c>
      <c r="AB30" s="14" t="str">
        <f>iferror(average('Revenue Growth YoY'!AB27:AB30),"")</f>
        <v/>
      </c>
      <c r="AC30" s="14" t="str">
        <f>iferror(average('Revenue Growth YoY'!AC27:AC30),"")</f>
        <v/>
      </c>
      <c r="AD30" s="12"/>
    </row>
    <row r="31">
      <c r="A31" s="15" t="s">
        <v>58</v>
      </c>
      <c r="B31" s="14" t="str">
        <f>iferror(average('Revenue Growth YoY'!B28:B31),"")</f>
        <v/>
      </c>
      <c r="C31" s="14">
        <f>iferror(average('Revenue Growth YoY'!C28:C31),"")</f>
        <v>-0.08990254739</v>
      </c>
      <c r="D31" s="14">
        <f>iferror(average('Revenue Growth YoY'!D28:D31),"")</f>
        <v>0.3675472225</v>
      </c>
      <c r="E31" s="14">
        <f>iferror(average('Revenue Growth YoY'!E28:E31),"")</f>
        <v>0.7972837059</v>
      </c>
      <c r="F31" s="14" t="str">
        <f>iferror(average('Revenue Growth YoY'!F28:F31),"")</f>
        <v/>
      </c>
      <c r="G31" s="14" t="str">
        <f>iferror(average('Revenue Growth YoY'!G28:G31),"")</f>
        <v/>
      </c>
      <c r="H31" s="14" t="str">
        <f>iferror(average('Revenue Growth YoY'!H28:H31),"")</f>
        <v/>
      </c>
      <c r="I31" s="14" t="str">
        <f>iferror(average('Revenue Growth YoY'!I28:I31),"")</f>
        <v/>
      </c>
      <c r="J31" s="14" t="str">
        <f>iferror(average('Revenue Growth YoY'!J28:J31),"")</f>
        <v/>
      </c>
      <c r="K31" s="14" t="str">
        <f>iferror(average('Revenue Growth YoY'!K28:K31),"")</f>
        <v/>
      </c>
      <c r="L31" s="14" t="str">
        <f>iferror(average('Revenue Growth YoY'!L28:L31),"")</f>
        <v/>
      </c>
      <c r="M31" s="14" t="str">
        <f>iferror(average('Revenue Growth YoY'!M28:M31),"")</f>
        <v/>
      </c>
      <c r="N31" s="14" t="str">
        <f>iferror(average('Revenue Growth YoY'!N28:N31),"")</f>
        <v/>
      </c>
      <c r="O31" s="14">
        <f>iferror(average('Revenue Growth YoY'!O28:O31),"")</f>
        <v>0.2390021197</v>
      </c>
      <c r="P31" s="14" t="str">
        <f>iferror(average('Revenue Growth YoY'!P28:P31),"")</f>
        <v/>
      </c>
      <c r="Q31" s="14" t="str">
        <f>iferror(average('Revenue Growth YoY'!Q28:Q31),"")</f>
        <v/>
      </c>
      <c r="R31" s="14"/>
      <c r="S31" s="14">
        <f>iferror(average('Revenue Growth YoY'!S28:S31),"")</f>
        <v>5.47618526</v>
      </c>
      <c r="T31" s="14" t="str">
        <f>iferror(average('Revenue Growth YoY'!T28:T31),"")</f>
        <v/>
      </c>
      <c r="U31" s="14" t="str">
        <f>iferror(average('Revenue Growth YoY'!U28:U31),"")</f>
        <v/>
      </c>
      <c r="V31" s="14">
        <f>iferror(average('Revenue Growth YoY'!V28:V31),"")</f>
        <v>0.285678269</v>
      </c>
      <c r="W31" s="14" t="str">
        <f>iferror(average('Revenue Growth YoY'!W28:W31),"")</f>
        <v/>
      </c>
      <c r="X31" s="14">
        <f>iferror(average('Revenue Growth YoY'!X28:X31),"")</f>
        <v>0.0388461427</v>
      </c>
      <c r="Y31" s="14" t="str">
        <f>iferror(average('Revenue Growth YoY'!Y28:Y31),"")</f>
        <v/>
      </c>
      <c r="Z31" s="14" t="str">
        <f>iferror(average('Revenue Growth YoY'!Z28:Z31),"")</f>
        <v/>
      </c>
      <c r="AA31" s="14" t="str">
        <f>iferror(average('Revenue Growth YoY'!AA28:AA31),"")</f>
        <v/>
      </c>
      <c r="AB31" s="14" t="str">
        <f>iferror(average('Revenue Growth YoY'!AB28:AB31),"")</f>
        <v/>
      </c>
      <c r="AC31" s="14" t="str">
        <f>iferror(average('Revenue Growth YoY'!AC28:AC31),"")</f>
        <v/>
      </c>
      <c r="AD31" s="12"/>
    </row>
    <row r="32">
      <c r="A32" s="15" t="s">
        <v>59</v>
      </c>
      <c r="B32" s="14" t="str">
        <f>iferror(average('Revenue Growth YoY'!B29:B32),"")</f>
        <v/>
      </c>
      <c r="C32" s="14">
        <f>iferror(average('Revenue Growth YoY'!C29:C32),"")</f>
        <v>-0.04036292324</v>
      </c>
      <c r="D32" s="14">
        <f>iferror(average('Revenue Growth YoY'!D29:D32),"")</f>
        <v>0.1742565949</v>
      </c>
      <c r="E32" s="14">
        <f>iferror(average('Revenue Growth YoY'!E29:E32),"")</f>
        <v>0.8308491481</v>
      </c>
      <c r="F32" s="14" t="str">
        <f>iferror(average('Revenue Growth YoY'!F29:F32),"")</f>
        <v/>
      </c>
      <c r="G32" s="14" t="str">
        <f>iferror(average('Revenue Growth YoY'!G29:G32),"")</f>
        <v/>
      </c>
      <c r="H32" s="14" t="str">
        <f>iferror(average('Revenue Growth YoY'!H29:H32),"")</f>
        <v/>
      </c>
      <c r="I32" s="14" t="str">
        <f>iferror(average('Revenue Growth YoY'!I29:I32),"")</f>
        <v/>
      </c>
      <c r="J32" s="14" t="str">
        <f>iferror(average('Revenue Growth YoY'!J29:J32),"")</f>
        <v/>
      </c>
      <c r="K32" s="14" t="str">
        <f>iferror(average('Revenue Growth YoY'!K29:K32),"")</f>
        <v/>
      </c>
      <c r="L32" s="14" t="str">
        <f>iferror(average('Revenue Growth YoY'!L29:L32),"")</f>
        <v/>
      </c>
      <c r="M32" s="14" t="str">
        <f>iferror(average('Revenue Growth YoY'!M29:M32),"")</f>
        <v/>
      </c>
      <c r="N32" s="14" t="str">
        <f>iferror(average('Revenue Growth YoY'!N29:N32),"")</f>
        <v/>
      </c>
      <c r="O32" s="14">
        <f>iferror(average('Revenue Growth YoY'!O29:O32),"")</f>
        <v>0.07251082251</v>
      </c>
      <c r="P32" s="14" t="str">
        <f>iferror(average('Revenue Growth YoY'!P29:P32),"")</f>
        <v/>
      </c>
      <c r="Q32" s="14" t="str">
        <f>iferror(average('Revenue Growth YoY'!Q29:Q32),"")</f>
        <v/>
      </c>
      <c r="R32" s="14"/>
      <c r="S32" s="14">
        <f>iferror(average('Revenue Growth YoY'!S29:S32),"")</f>
        <v>5.47618526</v>
      </c>
      <c r="T32" s="14" t="str">
        <f>iferror(average('Revenue Growth YoY'!T29:T32),"")</f>
        <v/>
      </c>
      <c r="U32" s="14" t="str">
        <f>iferror(average('Revenue Growth YoY'!U29:U32),"")</f>
        <v/>
      </c>
      <c r="V32" s="14">
        <f>iferror(average('Revenue Growth YoY'!V29:V32),"")</f>
        <v>0.1934293543</v>
      </c>
      <c r="W32" s="14" t="str">
        <f>iferror(average('Revenue Growth YoY'!W29:W32),"")</f>
        <v/>
      </c>
      <c r="X32" s="14">
        <f>iferror(average('Revenue Growth YoY'!X29:X32),"")</f>
        <v>0.3188295165</v>
      </c>
      <c r="Y32" s="14" t="str">
        <f>iferror(average('Revenue Growth YoY'!Y29:Y32),"")</f>
        <v/>
      </c>
      <c r="Z32" s="14" t="str">
        <f>iferror(average('Revenue Growth YoY'!Z29:Z32),"")</f>
        <v/>
      </c>
      <c r="AA32" s="14" t="str">
        <f>iferror(average('Revenue Growth YoY'!AA29:AA32),"")</f>
        <v/>
      </c>
      <c r="AB32" s="14" t="str">
        <f>iferror(average('Revenue Growth YoY'!AB29:AB32),"")</f>
        <v/>
      </c>
      <c r="AC32" s="14" t="str">
        <f>iferror(average('Revenue Growth YoY'!AC29:AC32),"")</f>
        <v/>
      </c>
      <c r="AD32" s="12"/>
    </row>
    <row r="33">
      <c r="A33" s="15" t="s">
        <v>60</v>
      </c>
      <c r="B33" s="14" t="str">
        <f>iferror(average('Revenue Growth YoY'!B30:B33),"")</f>
        <v/>
      </c>
      <c r="C33" s="14">
        <f>iferror(average('Revenue Growth YoY'!C30:C33),"")</f>
        <v>0.009176700897</v>
      </c>
      <c r="D33" s="14">
        <f>iferror(average('Revenue Growth YoY'!D30:D33),"")</f>
        <v>-0.0190340326</v>
      </c>
      <c r="E33" s="14">
        <f>iferror(average('Revenue Growth YoY'!E30:E33),"")</f>
        <v>0.8644145903</v>
      </c>
      <c r="F33" s="14" t="str">
        <f>iferror(average('Revenue Growth YoY'!F30:F33),"")</f>
        <v/>
      </c>
      <c r="G33" s="14" t="str">
        <f>iferror(average('Revenue Growth YoY'!G30:G33),"")</f>
        <v/>
      </c>
      <c r="H33" s="14" t="str">
        <f>iferror(average('Revenue Growth YoY'!H30:H33),"")</f>
        <v/>
      </c>
      <c r="I33" s="14" t="str">
        <f>iferror(average('Revenue Growth YoY'!I30:I33),"")</f>
        <v/>
      </c>
      <c r="J33" s="14" t="str">
        <f>iferror(average('Revenue Growth YoY'!J30:J33),"")</f>
        <v/>
      </c>
      <c r="K33" s="14" t="str">
        <f>iferror(average('Revenue Growth YoY'!K30:K33),"")</f>
        <v/>
      </c>
      <c r="L33" s="14" t="str">
        <f>iferror(average('Revenue Growth YoY'!L30:L33),"")</f>
        <v/>
      </c>
      <c r="M33" s="14" t="str">
        <f>iferror(average('Revenue Growth YoY'!M30:M33),"")</f>
        <v/>
      </c>
      <c r="N33" s="14" t="str">
        <f>iferror(average('Revenue Growth YoY'!N30:N33),"")</f>
        <v/>
      </c>
      <c r="O33" s="14">
        <f>iferror(average('Revenue Growth YoY'!O30:O33),"")</f>
        <v>0.8109421482</v>
      </c>
      <c r="P33" s="14" t="str">
        <f>iferror(average('Revenue Growth YoY'!P30:P33),"")</f>
        <v/>
      </c>
      <c r="Q33" s="14" t="str">
        <f>iferror(average('Revenue Growth YoY'!Q30:Q33),"")</f>
        <v/>
      </c>
      <c r="R33" s="14"/>
      <c r="S33" s="14">
        <f>iferror(average('Revenue Growth YoY'!S30:S33),"")</f>
        <v>5.47618526</v>
      </c>
      <c r="T33" s="14" t="str">
        <f>iferror(average('Revenue Growth YoY'!T30:T33),"")</f>
        <v/>
      </c>
      <c r="U33" s="14" t="str">
        <f>iferror(average('Revenue Growth YoY'!U30:U33),"")</f>
        <v/>
      </c>
      <c r="V33" s="14">
        <f>iferror(average('Revenue Growth YoY'!V30:V33),"")</f>
        <v>0.1011804396</v>
      </c>
      <c r="W33" s="14" t="str">
        <f>iferror(average('Revenue Growth YoY'!W30:W33),"")</f>
        <v/>
      </c>
      <c r="X33" s="14">
        <f>iferror(average('Revenue Growth YoY'!X30:X33),"")</f>
        <v>0.3006652891</v>
      </c>
      <c r="Y33" s="14" t="str">
        <f>iferror(average('Revenue Growth YoY'!Y30:Y33),"")</f>
        <v/>
      </c>
      <c r="Z33" s="14" t="str">
        <f>iferror(average('Revenue Growth YoY'!Z30:Z33),"")</f>
        <v/>
      </c>
      <c r="AA33" s="14" t="str">
        <f>iferror(average('Revenue Growth YoY'!AA30:AA33),"")</f>
        <v/>
      </c>
      <c r="AB33" s="14" t="str">
        <f>iferror(average('Revenue Growth YoY'!AB30:AB33),"")</f>
        <v/>
      </c>
      <c r="AC33" s="14" t="str">
        <f>iferror(average('Revenue Growth YoY'!AC30:AC33),"")</f>
        <v/>
      </c>
      <c r="AD33" s="12"/>
    </row>
    <row r="34">
      <c r="A34" s="15" t="s">
        <v>61</v>
      </c>
      <c r="B34" s="14" t="str">
        <f>iferror(average('Revenue Growth YoY'!B31:B34),"")</f>
        <v/>
      </c>
      <c r="C34" s="14">
        <f>iferror(average('Revenue Growth YoY'!C31:C34),"")</f>
        <v>0.05871632504</v>
      </c>
      <c r="D34" s="14">
        <f>iferror(average('Revenue Growth YoY'!D31:D34),"")</f>
        <v>-0.2123246601</v>
      </c>
      <c r="E34" s="14">
        <f>iferror(average('Revenue Growth YoY'!E31:E34),"")</f>
        <v>0.8979800325</v>
      </c>
      <c r="F34" s="14" t="str">
        <f>iferror(average('Revenue Growth YoY'!F31:F34),"")</f>
        <v/>
      </c>
      <c r="G34" s="14" t="str">
        <f>iferror(average('Revenue Growth YoY'!G31:G34),"")</f>
        <v/>
      </c>
      <c r="H34" s="14" t="str">
        <f>iferror(average('Revenue Growth YoY'!H31:H34),"")</f>
        <v/>
      </c>
      <c r="I34" s="14" t="str">
        <f>iferror(average('Revenue Growth YoY'!I31:I34),"")</f>
        <v/>
      </c>
      <c r="J34" s="14" t="str">
        <f>iferror(average('Revenue Growth YoY'!J31:J34),"")</f>
        <v/>
      </c>
      <c r="K34" s="14" t="str">
        <f>iferror(average('Revenue Growth YoY'!K31:K34),"")</f>
        <v/>
      </c>
      <c r="L34" s="14" t="str">
        <f>iferror(average('Revenue Growth YoY'!L31:L34),"")</f>
        <v/>
      </c>
      <c r="M34" s="14" t="str">
        <f>iferror(average('Revenue Growth YoY'!M31:M34),"")</f>
        <v/>
      </c>
      <c r="N34" s="14" t="str">
        <f>iferror(average('Revenue Growth YoY'!N31:N34),"")</f>
        <v/>
      </c>
      <c r="O34" s="14">
        <f>iferror(average('Revenue Growth YoY'!O31:O34),"")</f>
        <v>1.549373474</v>
      </c>
      <c r="P34" s="14" t="str">
        <f>iferror(average('Revenue Growth YoY'!P31:P34),"")</f>
        <v/>
      </c>
      <c r="Q34" s="14" t="str">
        <f>iferror(average('Revenue Growth YoY'!Q31:Q34),"")</f>
        <v/>
      </c>
      <c r="R34" s="14"/>
      <c r="S34" s="14" t="str">
        <f>iferror(average('Revenue Growth YoY'!S31:S34),"")</f>
        <v/>
      </c>
      <c r="T34" s="14" t="str">
        <f>iferror(average('Revenue Growth YoY'!T31:T34),"")</f>
        <v/>
      </c>
      <c r="U34" s="14" t="str">
        <f>iferror(average('Revenue Growth YoY'!U31:U34),"")</f>
        <v/>
      </c>
      <c r="V34" s="14">
        <f>iferror(average('Revenue Growth YoY'!V31:V34),"")</f>
        <v>0.008931524975</v>
      </c>
      <c r="W34" s="14" t="str">
        <f>iferror(average('Revenue Growth YoY'!W31:W34),"")</f>
        <v/>
      </c>
      <c r="X34" s="14">
        <f>iferror(average('Revenue Growth YoY'!X31:X34),"")</f>
        <v>0.2825010617</v>
      </c>
      <c r="Y34" s="14" t="str">
        <f>iferror(average('Revenue Growth YoY'!Y31:Y34),"")</f>
        <v/>
      </c>
      <c r="Z34" s="14" t="str">
        <f>iferror(average('Revenue Growth YoY'!Z31:Z34),"")</f>
        <v/>
      </c>
      <c r="AA34" s="14" t="str">
        <f>iferror(average('Revenue Growth YoY'!AA31:AA34),"")</f>
        <v/>
      </c>
      <c r="AB34" s="14" t="str">
        <f>iferror(average('Revenue Growth YoY'!AB31:AB34),"")</f>
        <v/>
      </c>
      <c r="AC34" s="14" t="str">
        <f>iferror(average('Revenue Growth YoY'!AC31:AC34),"")</f>
        <v/>
      </c>
      <c r="AD34" s="12"/>
    </row>
    <row r="35">
      <c r="A35" s="15" t="s">
        <v>62</v>
      </c>
      <c r="B35" s="14" t="str">
        <f>iferror(average('Revenue Growth YoY'!B32:B35),"")</f>
        <v/>
      </c>
      <c r="C35" s="14">
        <f>iferror(average('Revenue Growth YoY'!C32:C35),"")</f>
        <v>0.05723974779</v>
      </c>
      <c r="D35" s="14">
        <f>iferror(average('Revenue Growth YoY'!D32:D35),"")</f>
        <v>-0.1217448448</v>
      </c>
      <c r="E35" s="14">
        <f>iferror(average('Revenue Growth YoY'!E32:E35),"")</f>
        <v>0.8359088739</v>
      </c>
      <c r="F35" s="14" t="str">
        <f>iferror(average('Revenue Growth YoY'!F32:F35),"")</f>
        <v/>
      </c>
      <c r="G35" s="14" t="str">
        <f>iferror(average('Revenue Growth YoY'!G32:G35),"")</f>
        <v/>
      </c>
      <c r="H35" s="14" t="str">
        <f>iferror(average('Revenue Growth YoY'!H32:H35),"")</f>
        <v/>
      </c>
      <c r="I35" s="14" t="str">
        <f>iferror(average('Revenue Growth YoY'!I32:I35),"")</f>
        <v/>
      </c>
      <c r="J35" s="14" t="str">
        <f>iferror(average('Revenue Growth YoY'!J32:J35),"")</f>
        <v/>
      </c>
      <c r="K35" s="14" t="str">
        <f>iferror(average('Revenue Growth YoY'!K32:K35),"")</f>
        <v/>
      </c>
      <c r="L35" s="14" t="str">
        <f>iferror(average('Revenue Growth YoY'!L32:L35),"")</f>
        <v/>
      </c>
      <c r="M35" s="14" t="str">
        <f>iferror(average('Revenue Growth YoY'!M32:M35),"")</f>
        <v/>
      </c>
      <c r="N35" s="14" t="str">
        <f>iferror(average('Revenue Growth YoY'!N32:N35),"")</f>
        <v/>
      </c>
      <c r="O35" s="14">
        <f>iferror(average('Revenue Growth YoY'!O32:O35),"")</f>
        <v>2.287804799</v>
      </c>
      <c r="P35" s="14" t="str">
        <f>iferror(average('Revenue Growth YoY'!P32:P35),"")</f>
        <v/>
      </c>
      <c r="Q35" s="14" t="str">
        <f>iferror(average('Revenue Growth YoY'!Q32:Q35),"")</f>
        <v/>
      </c>
      <c r="R35" s="14"/>
      <c r="S35" s="14" t="str">
        <f>iferror(average('Revenue Growth YoY'!S32:S35),"")</f>
        <v/>
      </c>
      <c r="T35" s="14" t="str">
        <f>iferror(average('Revenue Growth YoY'!T32:T35),"")</f>
        <v/>
      </c>
      <c r="U35" s="14" t="str">
        <f>iferror(average('Revenue Growth YoY'!U32:U35),"")</f>
        <v/>
      </c>
      <c r="V35" s="14">
        <f>iferror(average('Revenue Growth YoY'!V32:V35),"")</f>
        <v>0.008931524975</v>
      </c>
      <c r="W35" s="14" t="str">
        <f>iferror(average('Revenue Growth YoY'!W32:W35),"")</f>
        <v/>
      </c>
      <c r="X35" s="14">
        <f>iferror(average('Revenue Growth YoY'!X32:X35),"")</f>
        <v>0.2643368343</v>
      </c>
      <c r="Y35" s="14" t="str">
        <f>iferror(average('Revenue Growth YoY'!Y32:Y35),"")</f>
        <v/>
      </c>
      <c r="Z35" s="14" t="str">
        <f>iferror(average('Revenue Growth YoY'!Z32:Z35),"")</f>
        <v/>
      </c>
      <c r="AA35" s="14" t="str">
        <f>iferror(average('Revenue Growth YoY'!AA32:AA35),"")</f>
        <v/>
      </c>
      <c r="AB35" s="14" t="str">
        <f>iferror(average('Revenue Growth YoY'!AB32:AB35),"")</f>
        <v/>
      </c>
      <c r="AC35" s="14" t="str">
        <f>iferror(average('Revenue Growth YoY'!AC32:AC35),"")</f>
        <v/>
      </c>
      <c r="AD35" s="12"/>
    </row>
    <row r="36">
      <c r="A36" s="15" t="s">
        <v>63</v>
      </c>
      <c r="B36" s="14" t="str">
        <f>iferror(average('Revenue Growth YoY'!B33:B36),"")</f>
        <v/>
      </c>
      <c r="C36" s="14">
        <f>iferror(average('Revenue Growth YoY'!C33:C36),"")</f>
        <v>0.05576317055</v>
      </c>
      <c r="D36" s="14">
        <f>iferror(average('Revenue Growth YoY'!D33:D36),"")</f>
        <v>-0.03116502945</v>
      </c>
      <c r="E36" s="14">
        <f>iferror(average('Revenue Growth YoY'!E33:E36),"")</f>
        <v>0.7738377152</v>
      </c>
      <c r="F36" s="14" t="str">
        <f>iferror(average('Revenue Growth YoY'!F33:F36),"")</f>
        <v/>
      </c>
      <c r="G36" s="14" t="str">
        <f>iferror(average('Revenue Growth YoY'!G33:G36),"")</f>
        <v/>
      </c>
      <c r="H36" s="14" t="str">
        <f>iferror(average('Revenue Growth YoY'!H33:H36),"")</f>
        <v/>
      </c>
      <c r="I36" s="14" t="str">
        <f>iferror(average('Revenue Growth YoY'!I33:I36),"")</f>
        <v/>
      </c>
      <c r="J36" s="14" t="str">
        <f>iferror(average('Revenue Growth YoY'!J33:J36),"")</f>
        <v/>
      </c>
      <c r="K36" s="14" t="str">
        <f>iferror(average('Revenue Growth YoY'!K33:K36),"")</f>
        <v/>
      </c>
      <c r="L36" s="14" t="str">
        <f>iferror(average('Revenue Growth YoY'!L33:L36),"")</f>
        <v/>
      </c>
      <c r="M36" s="14" t="str">
        <f>iferror(average('Revenue Growth YoY'!M33:M36),"")</f>
        <v/>
      </c>
      <c r="N36" s="14" t="str">
        <f>iferror(average('Revenue Growth YoY'!N33:N36),"")</f>
        <v/>
      </c>
      <c r="O36" s="14">
        <f>iferror(average('Revenue Growth YoY'!O33:O36),"")</f>
        <v>3.026236125</v>
      </c>
      <c r="P36" s="14" t="str">
        <f>iferror(average('Revenue Growth YoY'!P33:P36),"")</f>
        <v/>
      </c>
      <c r="Q36" s="14" t="str">
        <f>iferror(average('Revenue Growth YoY'!Q33:Q36),"")</f>
        <v/>
      </c>
      <c r="R36" s="14"/>
      <c r="S36" s="14" t="str">
        <f>iferror(average('Revenue Growth YoY'!S33:S36),"")</f>
        <v/>
      </c>
      <c r="T36" s="14" t="str">
        <f>iferror(average('Revenue Growth YoY'!T33:T36),"")</f>
        <v/>
      </c>
      <c r="U36" s="14" t="str">
        <f>iferror(average('Revenue Growth YoY'!U33:U36),"")</f>
        <v/>
      </c>
      <c r="V36" s="14">
        <f>iferror(average('Revenue Growth YoY'!V33:V36),"")</f>
        <v>0.008931524975</v>
      </c>
      <c r="W36" s="14" t="str">
        <f>iferror(average('Revenue Growth YoY'!W33:W36),"")</f>
        <v/>
      </c>
      <c r="X36" s="14">
        <f>iferror(average('Revenue Growth YoY'!X33:X36),"")</f>
        <v>0.2461726069</v>
      </c>
      <c r="Y36" s="14" t="str">
        <f>iferror(average('Revenue Growth YoY'!Y33:Y36),"")</f>
        <v/>
      </c>
      <c r="Z36" s="14" t="str">
        <f>iferror(average('Revenue Growth YoY'!Z33:Z36),"")</f>
        <v/>
      </c>
      <c r="AA36" s="14" t="str">
        <f>iferror(average('Revenue Growth YoY'!AA33:AA36),"")</f>
        <v/>
      </c>
      <c r="AB36" s="14" t="str">
        <f>iferror(average('Revenue Growth YoY'!AB33:AB36),"")</f>
        <v/>
      </c>
      <c r="AC36" s="14" t="str">
        <f>iferror(average('Revenue Growth YoY'!AC33:AC36),"")</f>
        <v/>
      </c>
      <c r="AD36" s="12"/>
    </row>
    <row r="37">
      <c r="A37" s="15" t="s">
        <v>64</v>
      </c>
      <c r="B37" s="14" t="str">
        <f>iferror(average('Revenue Growth YoY'!B34:B37),"")</f>
        <v/>
      </c>
      <c r="C37" s="14">
        <f>iferror(average('Revenue Growth YoY'!C34:C37),"")</f>
        <v>0.0542865933</v>
      </c>
      <c r="D37" s="14">
        <f>iferror(average('Revenue Growth YoY'!D34:D37),"")</f>
        <v>0.05941478589</v>
      </c>
      <c r="E37" s="14">
        <f>iferror(average('Revenue Growth YoY'!E34:E37),"")</f>
        <v>0.7117665566</v>
      </c>
      <c r="F37" s="14" t="str">
        <f>iferror(average('Revenue Growth YoY'!F34:F37),"")</f>
        <v/>
      </c>
      <c r="G37" s="14" t="str">
        <f>iferror(average('Revenue Growth YoY'!G34:G37),"")</f>
        <v/>
      </c>
      <c r="H37" s="14" t="str">
        <f>iferror(average('Revenue Growth YoY'!H34:H37),"")</f>
        <v/>
      </c>
      <c r="I37" s="14" t="str">
        <f>iferror(average('Revenue Growth YoY'!I34:I37),"")</f>
        <v/>
      </c>
      <c r="J37" s="14" t="str">
        <f>iferror(average('Revenue Growth YoY'!J34:J37),"")</f>
        <v/>
      </c>
      <c r="K37" s="14" t="str">
        <f>iferror(average('Revenue Growth YoY'!K34:K37),"")</f>
        <v/>
      </c>
      <c r="L37" s="14" t="str">
        <f>iferror(average('Revenue Growth YoY'!L34:L37),"")</f>
        <v/>
      </c>
      <c r="M37" s="14" t="str">
        <f>iferror(average('Revenue Growth YoY'!M34:M37),"")</f>
        <v/>
      </c>
      <c r="N37" s="14" t="str">
        <f>iferror(average('Revenue Growth YoY'!N34:N37),"")</f>
        <v/>
      </c>
      <c r="O37" s="14">
        <f>iferror(average('Revenue Growth YoY'!O34:O37),"")</f>
        <v>2.556957796</v>
      </c>
      <c r="P37" s="14" t="str">
        <f>iferror(average('Revenue Growth YoY'!P34:P37),"")</f>
        <v/>
      </c>
      <c r="Q37" s="14" t="str">
        <f>iferror(average('Revenue Growth YoY'!Q34:Q37),"")</f>
        <v/>
      </c>
      <c r="R37" s="14"/>
      <c r="S37" s="14" t="str">
        <f>iferror(average('Revenue Growth YoY'!S34:S37),"")</f>
        <v/>
      </c>
      <c r="T37" s="14" t="str">
        <f>iferror(average('Revenue Growth YoY'!T34:T37),"")</f>
        <v/>
      </c>
      <c r="U37" s="14" t="str">
        <f>iferror(average('Revenue Growth YoY'!U34:U37),"")</f>
        <v/>
      </c>
      <c r="V37" s="14" t="str">
        <f>iferror(average('Revenue Growth YoY'!V34:V37),"")</f>
        <v/>
      </c>
      <c r="W37" s="14" t="str">
        <f>iferror(average('Revenue Growth YoY'!W34:W37),"")</f>
        <v/>
      </c>
      <c r="X37" s="14">
        <f>iferror(average('Revenue Growth YoY'!X34:X37),"")</f>
        <v>0.2069294906</v>
      </c>
      <c r="Y37" s="14" t="str">
        <f>iferror(average('Revenue Growth YoY'!Y34:Y37),"")</f>
        <v/>
      </c>
      <c r="Z37" s="14" t="str">
        <f>iferror(average('Revenue Growth YoY'!Z34:Z37),"")</f>
        <v/>
      </c>
      <c r="AA37" s="14" t="str">
        <f>iferror(average('Revenue Growth YoY'!AA34:AA37),"")</f>
        <v/>
      </c>
      <c r="AB37" s="14" t="str">
        <f>iferror(average('Revenue Growth YoY'!AB34:AB37),"")</f>
        <v/>
      </c>
      <c r="AC37" s="14" t="str">
        <f>iferror(average('Revenue Growth YoY'!AC34:AC37),"")</f>
        <v/>
      </c>
      <c r="AD37" s="12"/>
    </row>
    <row r="38">
      <c r="A38" s="15" t="s">
        <v>65</v>
      </c>
      <c r="B38" s="14" t="str">
        <f>iferror(average('Revenue Growth YoY'!B35:B38),"")</f>
        <v/>
      </c>
      <c r="C38" s="14">
        <f>iferror(average('Revenue Growth YoY'!C35:C38),"")</f>
        <v>0.05281001605</v>
      </c>
      <c r="D38" s="14">
        <f>iferror(average('Revenue Growth YoY'!D35:D38),"")</f>
        <v>0.1499946012</v>
      </c>
      <c r="E38" s="14">
        <f>iferror(average('Revenue Growth YoY'!E35:E38),"")</f>
        <v>0.6496953979</v>
      </c>
      <c r="F38" s="14" t="str">
        <f>iferror(average('Revenue Growth YoY'!F35:F38),"")</f>
        <v/>
      </c>
      <c r="G38" s="14" t="str">
        <f>iferror(average('Revenue Growth YoY'!G35:G38),"")</f>
        <v/>
      </c>
      <c r="H38" s="14" t="str">
        <f>iferror(average('Revenue Growth YoY'!H35:H38),"")</f>
        <v/>
      </c>
      <c r="I38" s="14" t="str">
        <f>iferror(average('Revenue Growth YoY'!I35:I38),"")</f>
        <v/>
      </c>
      <c r="J38" s="14" t="str">
        <f>iferror(average('Revenue Growth YoY'!J35:J38),"")</f>
        <v/>
      </c>
      <c r="K38" s="14" t="str">
        <f>iferror(average('Revenue Growth YoY'!K35:K38),"")</f>
        <v/>
      </c>
      <c r="L38" s="14" t="str">
        <f>iferror(average('Revenue Growth YoY'!L35:L38),"")</f>
        <v/>
      </c>
      <c r="M38" s="14" t="str">
        <f>iferror(average('Revenue Growth YoY'!M35:M38),"")</f>
        <v/>
      </c>
      <c r="N38" s="14" t="str">
        <f>iferror(average('Revenue Growth YoY'!N35:N38),"")</f>
        <v/>
      </c>
      <c r="O38" s="14">
        <f>iferror(average('Revenue Growth YoY'!O35:O38),"")</f>
        <v>2.087679466</v>
      </c>
      <c r="P38" s="14" t="str">
        <f>iferror(average('Revenue Growth YoY'!P35:P38),"")</f>
        <v/>
      </c>
      <c r="Q38" s="14" t="str">
        <f>iferror(average('Revenue Growth YoY'!Q35:Q38),"")</f>
        <v/>
      </c>
      <c r="R38" s="14"/>
      <c r="S38" s="14" t="str">
        <f>iferror(average('Revenue Growth YoY'!S35:S38),"")</f>
        <v/>
      </c>
      <c r="T38" s="14" t="str">
        <f>iferror(average('Revenue Growth YoY'!T35:T38),"")</f>
        <v/>
      </c>
      <c r="U38" s="14" t="str">
        <f>iferror(average('Revenue Growth YoY'!U35:U38),"")</f>
        <v/>
      </c>
      <c r="V38" s="14" t="str">
        <f>iferror(average('Revenue Growth YoY'!V35:V38),"")</f>
        <v/>
      </c>
      <c r="W38" s="14" t="str">
        <f>iferror(average('Revenue Growth YoY'!W35:W38),"")</f>
        <v/>
      </c>
      <c r="X38" s="14">
        <f>iferror(average('Revenue Growth YoY'!X35:X38),"")</f>
        <v>0.1676863744</v>
      </c>
      <c r="Y38" s="14" t="str">
        <f>iferror(average('Revenue Growth YoY'!Y35:Y38),"")</f>
        <v/>
      </c>
      <c r="Z38" s="14" t="str">
        <f>iferror(average('Revenue Growth YoY'!Z35:Z38),"")</f>
        <v/>
      </c>
      <c r="AA38" s="14" t="str">
        <f>iferror(average('Revenue Growth YoY'!AA35:AA38),"")</f>
        <v/>
      </c>
      <c r="AB38" s="14" t="str">
        <f>iferror(average('Revenue Growth YoY'!AB35:AB38),"")</f>
        <v/>
      </c>
      <c r="AC38" s="14" t="str">
        <f>iferror(average('Revenue Growth YoY'!AC35:AC38),"")</f>
        <v/>
      </c>
      <c r="AD38" s="12"/>
    </row>
    <row r="39">
      <c r="A39" s="15" t="s">
        <v>66</v>
      </c>
      <c r="B39" s="14" t="str">
        <f>iferror(average('Revenue Growth YoY'!B36:B39),"")</f>
        <v/>
      </c>
      <c r="C39" s="14">
        <f>iferror(average('Revenue Growth YoY'!C36:C39),"")</f>
        <v>0.08127409214</v>
      </c>
      <c r="D39" s="14">
        <f>iferror(average('Revenue Growth YoY'!D36:D39),"")</f>
        <v>0.1264300755</v>
      </c>
      <c r="E39" s="14">
        <f>iferror(average('Revenue Growth YoY'!E36:E39),"")</f>
        <v>0.6129129734</v>
      </c>
      <c r="F39" s="14" t="str">
        <f>iferror(average('Revenue Growth YoY'!F36:F39),"")</f>
        <v/>
      </c>
      <c r="G39" s="14" t="str">
        <f>iferror(average('Revenue Growth YoY'!G36:G39),"")</f>
        <v/>
      </c>
      <c r="H39" s="14" t="str">
        <f>iferror(average('Revenue Growth YoY'!H36:H39),"")</f>
        <v/>
      </c>
      <c r="I39" s="14" t="str">
        <f>iferror(average('Revenue Growth YoY'!I36:I39),"")</f>
        <v/>
      </c>
      <c r="J39" s="14" t="str">
        <f>iferror(average('Revenue Growth YoY'!J36:J39),"")</f>
        <v/>
      </c>
      <c r="K39" s="14" t="str">
        <f>iferror(average('Revenue Growth YoY'!K36:K39),"")</f>
        <v/>
      </c>
      <c r="L39" s="14" t="str">
        <f>iferror(average('Revenue Growth YoY'!L36:L39),"")</f>
        <v/>
      </c>
      <c r="M39" s="14" t="str">
        <f>iferror(average('Revenue Growth YoY'!M36:M39),"")</f>
        <v/>
      </c>
      <c r="N39" s="14" t="str">
        <f>iferror(average('Revenue Growth YoY'!N36:N39),"")</f>
        <v/>
      </c>
      <c r="O39" s="14">
        <f>iferror(average('Revenue Growth YoY'!O36:O39),"")</f>
        <v>1.618401137</v>
      </c>
      <c r="P39" s="14" t="str">
        <f>iferror(average('Revenue Growth YoY'!P36:P39),"")</f>
        <v/>
      </c>
      <c r="Q39" s="14" t="str">
        <f>iferror(average('Revenue Growth YoY'!Q36:Q39),"")</f>
        <v/>
      </c>
      <c r="R39" s="14"/>
      <c r="S39" s="14" t="str">
        <f>iferror(average('Revenue Growth YoY'!S36:S39),"")</f>
        <v/>
      </c>
      <c r="T39" s="14" t="str">
        <f>iferror(average('Revenue Growth YoY'!T36:T39),"")</f>
        <v/>
      </c>
      <c r="U39" s="14" t="str">
        <f>iferror(average('Revenue Growth YoY'!U36:U39),"")</f>
        <v/>
      </c>
      <c r="V39" s="14" t="str">
        <f>iferror(average('Revenue Growth YoY'!V36:V39),"")</f>
        <v/>
      </c>
      <c r="W39" s="14" t="str">
        <f>iferror(average('Revenue Growth YoY'!W36:W39),"")</f>
        <v/>
      </c>
      <c r="X39" s="14">
        <f>iferror(average('Revenue Growth YoY'!X36:X39),"")</f>
        <v>0.1284432581</v>
      </c>
      <c r="Y39" s="14" t="str">
        <f>iferror(average('Revenue Growth YoY'!Y36:Y39),"")</f>
        <v/>
      </c>
      <c r="Z39" s="14" t="str">
        <f>iferror(average('Revenue Growth YoY'!Z36:Z39),"")</f>
        <v/>
      </c>
      <c r="AA39" s="14" t="str">
        <f>iferror(average('Revenue Growth YoY'!AA36:AA39),"")</f>
        <v/>
      </c>
      <c r="AB39" s="14" t="str">
        <f>iferror(average('Revenue Growth YoY'!AB36:AB39),"")</f>
        <v/>
      </c>
      <c r="AC39" s="14" t="str">
        <f>iferror(average('Revenue Growth YoY'!AC36:AC39),"")</f>
        <v/>
      </c>
      <c r="AD39" s="12"/>
    </row>
    <row r="40">
      <c r="A40" s="15" t="s">
        <v>67</v>
      </c>
      <c r="B40" s="14" t="str">
        <f>iferror(average('Revenue Growth YoY'!B37:B40),"")</f>
        <v/>
      </c>
      <c r="C40" s="14">
        <f>iferror(average('Revenue Growth YoY'!C37:C40),"")</f>
        <v>0.1097381682</v>
      </c>
      <c r="D40" s="14">
        <f>iferror(average('Revenue Growth YoY'!D37:D40),"")</f>
        <v>0.1028655498</v>
      </c>
      <c r="E40" s="14">
        <f>iferror(average('Revenue Growth YoY'!E37:E40),"")</f>
        <v>0.5761305488</v>
      </c>
      <c r="F40" s="14" t="str">
        <f>iferror(average('Revenue Growth YoY'!F37:F40),"")</f>
        <v/>
      </c>
      <c r="G40" s="14" t="str">
        <f>iferror(average('Revenue Growth YoY'!G37:G40),"")</f>
        <v/>
      </c>
      <c r="H40" s="14" t="str">
        <f>iferror(average('Revenue Growth YoY'!H37:H40),"")</f>
        <v/>
      </c>
      <c r="I40" s="14" t="str">
        <f>iferror(average('Revenue Growth YoY'!I37:I40),"")</f>
        <v/>
      </c>
      <c r="J40" s="14" t="str">
        <f>iferror(average('Revenue Growth YoY'!J37:J40),"")</f>
        <v/>
      </c>
      <c r="K40" s="14" t="str">
        <f>iferror(average('Revenue Growth YoY'!K37:K40),"")</f>
        <v/>
      </c>
      <c r="L40" s="14" t="str">
        <f>iferror(average('Revenue Growth YoY'!L37:L40),"")</f>
        <v/>
      </c>
      <c r="M40" s="14" t="str">
        <f>iferror(average('Revenue Growth YoY'!M37:M40),"")</f>
        <v/>
      </c>
      <c r="N40" s="14" t="str">
        <f>iferror(average('Revenue Growth YoY'!N37:N40),"")</f>
        <v/>
      </c>
      <c r="O40" s="14">
        <f>iferror(average('Revenue Growth YoY'!O37:O40),"")</f>
        <v>1.149122807</v>
      </c>
      <c r="P40" s="14" t="str">
        <f>iferror(average('Revenue Growth YoY'!P37:P40),"")</f>
        <v/>
      </c>
      <c r="Q40" s="14" t="str">
        <f>iferror(average('Revenue Growth YoY'!Q37:Q40),"")</f>
        <v/>
      </c>
      <c r="R40" s="14"/>
      <c r="S40" s="14" t="str">
        <f>iferror(average('Revenue Growth YoY'!S37:S40),"")</f>
        <v/>
      </c>
      <c r="T40" s="14" t="str">
        <f>iferror(average('Revenue Growth YoY'!T37:T40),"")</f>
        <v/>
      </c>
      <c r="U40" s="14" t="str">
        <f>iferror(average('Revenue Growth YoY'!U37:U40),"")</f>
        <v/>
      </c>
      <c r="V40" s="14" t="str">
        <f>iferror(average('Revenue Growth YoY'!V37:V40),"")</f>
        <v/>
      </c>
      <c r="W40" s="14" t="str">
        <f>iferror(average('Revenue Growth YoY'!W37:W40),"")</f>
        <v/>
      </c>
      <c r="X40" s="14">
        <f>iferror(average('Revenue Growth YoY'!X37:X40),"")</f>
        <v>0.0892001419</v>
      </c>
      <c r="Y40" s="14" t="str">
        <f>iferror(average('Revenue Growth YoY'!Y37:Y40),"")</f>
        <v/>
      </c>
      <c r="Z40" s="14" t="str">
        <f>iferror(average('Revenue Growth YoY'!Z37:Z40),"")</f>
        <v/>
      </c>
      <c r="AA40" s="14" t="str">
        <f>iferror(average('Revenue Growth YoY'!AA37:AA40),"")</f>
        <v/>
      </c>
      <c r="AB40" s="14" t="str">
        <f>iferror(average('Revenue Growth YoY'!AB37:AB40),"")</f>
        <v/>
      </c>
      <c r="AC40" s="14" t="str">
        <f>iferror(average('Revenue Growth YoY'!AC37:AC40),"")</f>
        <v/>
      </c>
      <c r="AD40" s="12"/>
    </row>
    <row r="41">
      <c r="A41" s="15" t="s">
        <v>68</v>
      </c>
      <c r="B41" s="14" t="str">
        <f>iferror(average('Revenue Growth YoY'!B38:B41),"")</f>
        <v/>
      </c>
      <c r="C41" s="14">
        <f>iferror(average('Revenue Growth YoY'!C38:C41),"")</f>
        <v>0.1382022443</v>
      </c>
      <c r="D41" s="14">
        <f>iferror(average('Revenue Growth YoY'!D38:D41),"")</f>
        <v>0.07930102403</v>
      </c>
      <c r="E41" s="14">
        <f>iferror(average('Revenue Growth YoY'!E38:E41),"")</f>
        <v>0.5393481243</v>
      </c>
      <c r="F41" s="14" t="str">
        <f>iferror(average('Revenue Growth YoY'!F38:F41),"")</f>
        <v/>
      </c>
      <c r="G41" s="14" t="str">
        <f>iferror(average('Revenue Growth YoY'!G38:G41),"")</f>
        <v/>
      </c>
      <c r="H41" s="14" t="str">
        <f>iferror(average('Revenue Growth YoY'!H38:H41),"")</f>
        <v/>
      </c>
      <c r="I41" s="14" t="str">
        <f>iferror(average('Revenue Growth YoY'!I38:I41),"")</f>
        <v/>
      </c>
      <c r="J41" s="14" t="str">
        <f>iferror(average('Revenue Growth YoY'!J38:J41),"")</f>
        <v/>
      </c>
      <c r="K41" s="14" t="str">
        <f>iferror(average('Revenue Growth YoY'!K38:K41),"")</f>
        <v/>
      </c>
      <c r="L41" s="14" t="str">
        <f>iferror(average('Revenue Growth YoY'!L38:L41),"")</f>
        <v/>
      </c>
      <c r="M41" s="14" t="str">
        <f>iferror(average('Revenue Growth YoY'!M38:M41),"")</f>
        <v/>
      </c>
      <c r="N41" s="14" t="str">
        <f>iferror(average('Revenue Growth YoY'!N38:N41),"")</f>
        <v/>
      </c>
      <c r="O41" s="14">
        <f>iferror(average('Revenue Growth YoY'!O38:O41),"")</f>
        <v>1.001987878</v>
      </c>
      <c r="P41" s="14" t="str">
        <f>iferror(average('Revenue Growth YoY'!P38:P41),"")</f>
        <v/>
      </c>
      <c r="Q41" s="14" t="str">
        <f>iferror(average('Revenue Growth YoY'!Q38:Q41),"")</f>
        <v/>
      </c>
      <c r="R41" s="14"/>
      <c r="S41" s="14" t="str">
        <f>iferror(average('Revenue Growth YoY'!S38:S41),"")</f>
        <v/>
      </c>
      <c r="T41" s="14" t="str">
        <f>iferror(average('Revenue Growth YoY'!T38:T41),"")</f>
        <v/>
      </c>
      <c r="U41" s="14" t="str">
        <f>iferror(average('Revenue Growth YoY'!U38:U41),"")</f>
        <v/>
      </c>
      <c r="V41" s="14" t="str">
        <f>iferror(average('Revenue Growth YoY'!V38:V41),"")</f>
        <v/>
      </c>
      <c r="W41" s="14" t="str">
        <f>iferror(average('Revenue Growth YoY'!W38:W41),"")</f>
        <v/>
      </c>
      <c r="X41" s="14">
        <f>iferror(average('Revenue Growth YoY'!X38:X41),"")</f>
        <v>0.1424414321</v>
      </c>
      <c r="Y41" s="14" t="str">
        <f>iferror(average('Revenue Growth YoY'!Y38:Y41),"")</f>
        <v/>
      </c>
      <c r="Z41" s="14" t="str">
        <f>iferror(average('Revenue Growth YoY'!Z38:Z41),"")</f>
        <v/>
      </c>
      <c r="AA41" s="14" t="str">
        <f>iferror(average('Revenue Growth YoY'!AA38:AA41),"")</f>
        <v/>
      </c>
      <c r="AB41" s="14" t="str">
        <f>iferror(average('Revenue Growth YoY'!AB38:AB41),"")</f>
        <v/>
      </c>
      <c r="AC41" s="14" t="str">
        <f>iferror(average('Revenue Growth YoY'!AC38:AC41),"")</f>
        <v/>
      </c>
      <c r="AD41" s="12"/>
    </row>
    <row r="42">
      <c r="A42" s="15" t="s">
        <v>69</v>
      </c>
      <c r="B42" s="14" t="str">
        <f>iferror(average('Revenue Growth YoY'!B39:B42),"")</f>
        <v/>
      </c>
      <c r="C42" s="14">
        <f>iferror(average('Revenue Growth YoY'!C39:C42),"")</f>
        <v>0.1666663204</v>
      </c>
      <c r="D42" s="14">
        <f>iferror(average('Revenue Growth YoY'!D39:D42),"")</f>
        <v>0.0557364983</v>
      </c>
      <c r="E42" s="14">
        <f>iferror(average('Revenue Growth YoY'!E39:E42),"")</f>
        <v>0.5025656997</v>
      </c>
      <c r="F42" s="14" t="str">
        <f>iferror(average('Revenue Growth YoY'!F39:F42),"")</f>
        <v/>
      </c>
      <c r="G42" s="14" t="str">
        <f>iferror(average('Revenue Growth YoY'!G39:G42),"")</f>
        <v/>
      </c>
      <c r="H42" s="14" t="str">
        <f>iferror(average('Revenue Growth YoY'!H39:H42),"")</f>
        <v/>
      </c>
      <c r="I42" s="14" t="str">
        <f>iferror(average('Revenue Growth YoY'!I39:I42),"")</f>
        <v/>
      </c>
      <c r="J42" s="14" t="str">
        <f>iferror(average('Revenue Growth YoY'!J39:J42),"")</f>
        <v/>
      </c>
      <c r="K42" s="14" t="str">
        <f>iferror(average('Revenue Growth YoY'!K39:K42),"")</f>
        <v/>
      </c>
      <c r="L42" s="14" t="str">
        <f>iferror(average('Revenue Growth YoY'!L39:L42),"")</f>
        <v/>
      </c>
      <c r="M42" s="14" t="str">
        <f>iferror(average('Revenue Growth YoY'!M39:M42),"")</f>
        <v/>
      </c>
      <c r="N42" s="14" t="str">
        <f>iferror(average('Revenue Growth YoY'!N39:N42),"")</f>
        <v/>
      </c>
      <c r="O42" s="14">
        <f>iferror(average('Revenue Growth YoY'!O39:O42),"")</f>
        <v>0.8548529487</v>
      </c>
      <c r="P42" s="14" t="str">
        <f>iferror(average('Revenue Growth YoY'!P39:P42),"")</f>
        <v/>
      </c>
      <c r="Q42" s="14" t="str">
        <f>iferror(average('Revenue Growth YoY'!Q39:Q42),"")</f>
        <v/>
      </c>
      <c r="R42" s="14"/>
      <c r="S42" s="14" t="str">
        <f>iferror(average('Revenue Growth YoY'!S39:S42),"")</f>
        <v/>
      </c>
      <c r="T42" s="14" t="str">
        <f>iferror(average('Revenue Growth YoY'!T39:T42),"")</f>
        <v/>
      </c>
      <c r="U42" s="14" t="str">
        <f>iferror(average('Revenue Growth YoY'!U39:U42),"")</f>
        <v/>
      </c>
      <c r="V42" s="14" t="str">
        <f>iferror(average('Revenue Growth YoY'!V39:V42),"")</f>
        <v/>
      </c>
      <c r="W42" s="14" t="str">
        <f>iferror(average('Revenue Growth YoY'!W39:W42),"")</f>
        <v/>
      </c>
      <c r="X42" s="14">
        <f>iferror(average('Revenue Growth YoY'!X39:X42),"")</f>
        <v>0.1956827223</v>
      </c>
      <c r="Y42" s="14" t="str">
        <f>iferror(average('Revenue Growth YoY'!Y39:Y42),"")</f>
        <v/>
      </c>
      <c r="Z42" s="14" t="str">
        <f>iferror(average('Revenue Growth YoY'!Z39:Z42),"")</f>
        <v/>
      </c>
      <c r="AA42" s="14" t="str">
        <f>iferror(average('Revenue Growth YoY'!AA39:AA42),"")</f>
        <v/>
      </c>
      <c r="AB42" s="14" t="str">
        <f>iferror(average('Revenue Growth YoY'!AB39:AB42),"")</f>
        <v/>
      </c>
      <c r="AC42" s="14" t="str">
        <f>iferror(average('Revenue Growth YoY'!AC39:AC42),"")</f>
        <v/>
      </c>
      <c r="AD42" s="12"/>
    </row>
    <row r="43">
      <c r="A43" s="15" t="s">
        <v>70</v>
      </c>
      <c r="B43" s="14" t="str">
        <f>iferror(average('Revenue Growth YoY'!B40:B43),"")</f>
        <v/>
      </c>
      <c r="C43" s="14">
        <f>iferror(average('Revenue Growth YoY'!C40:C43),"")</f>
        <v>0.1887307605</v>
      </c>
      <c r="D43" s="14">
        <f>iferror(average('Revenue Growth YoY'!D40:D43),"")</f>
        <v>0.089593386</v>
      </c>
      <c r="E43" s="14">
        <f>iferror(average('Revenue Growth YoY'!E40:E43),"")</f>
        <v>0.5439183033</v>
      </c>
      <c r="F43" s="14" t="str">
        <f>iferror(average('Revenue Growth YoY'!F40:F43),"")</f>
        <v/>
      </c>
      <c r="G43" s="14" t="str">
        <f>iferror(average('Revenue Growth YoY'!G40:G43),"")</f>
        <v/>
      </c>
      <c r="H43" s="14" t="str">
        <f>iferror(average('Revenue Growth YoY'!H40:H43),"")</f>
        <v/>
      </c>
      <c r="I43" s="14" t="str">
        <f>iferror(average('Revenue Growth YoY'!I40:I43),"")</f>
        <v/>
      </c>
      <c r="J43" s="14" t="str">
        <f>iferror(average('Revenue Growth YoY'!J40:J43),"")</f>
        <v/>
      </c>
      <c r="K43" s="14" t="str">
        <f>iferror(average('Revenue Growth YoY'!K40:K43),"")</f>
        <v/>
      </c>
      <c r="L43" s="14" t="str">
        <f>iferror(average('Revenue Growth YoY'!L40:L43),"")</f>
        <v/>
      </c>
      <c r="M43" s="14" t="str">
        <f>iferror(average('Revenue Growth YoY'!M40:M43),"")</f>
        <v/>
      </c>
      <c r="N43" s="14" t="str">
        <f>iferror(average('Revenue Growth YoY'!N40:N43),"")</f>
        <v/>
      </c>
      <c r="O43" s="14">
        <f>iferror(average('Revenue Growth YoY'!O40:O43),"")</f>
        <v>0.7077180195</v>
      </c>
      <c r="P43" s="14" t="str">
        <f>iferror(average('Revenue Growth YoY'!P40:P43),"")</f>
        <v/>
      </c>
      <c r="Q43" s="14" t="str">
        <f>iferror(average('Revenue Growth YoY'!Q40:Q43),"")</f>
        <v/>
      </c>
      <c r="R43" s="14"/>
      <c r="S43" s="14" t="str">
        <f>iferror(average('Revenue Growth YoY'!S40:S43),"")</f>
        <v/>
      </c>
      <c r="T43" s="14" t="str">
        <f>iferror(average('Revenue Growth YoY'!T40:T43),"")</f>
        <v/>
      </c>
      <c r="U43" s="14" t="str">
        <f>iferror(average('Revenue Growth YoY'!U40:U43),"")</f>
        <v/>
      </c>
      <c r="V43" s="14" t="str">
        <f>iferror(average('Revenue Growth YoY'!V40:V43),"")</f>
        <v/>
      </c>
      <c r="W43" s="14" t="str">
        <f>iferror(average('Revenue Growth YoY'!W40:W43),"")</f>
        <v/>
      </c>
      <c r="X43" s="14">
        <f>iferror(average('Revenue Growth YoY'!X40:X43),"")</f>
        <v>0.2489240125</v>
      </c>
      <c r="Y43" s="14" t="str">
        <f>iferror(average('Revenue Growth YoY'!Y40:Y43),"")</f>
        <v/>
      </c>
      <c r="Z43" s="14" t="str">
        <f>iferror(average('Revenue Growth YoY'!Z40:Z43),"")</f>
        <v/>
      </c>
      <c r="AA43" s="14" t="str">
        <f>iferror(average('Revenue Growth YoY'!AA40:AA43),"")</f>
        <v/>
      </c>
      <c r="AB43" s="14" t="str">
        <f>iferror(average('Revenue Growth YoY'!AB40:AB43),"")</f>
        <v/>
      </c>
      <c r="AC43" s="14" t="str">
        <f>iferror(average('Revenue Growth YoY'!AC40:AC43),"")</f>
        <v/>
      </c>
      <c r="AD43" s="12"/>
    </row>
    <row r="44">
      <c r="A44" s="15" t="s">
        <v>71</v>
      </c>
      <c r="B44" s="14" t="str">
        <f>iferror(average('Revenue Growth YoY'!B41:B44),"")</f>
        <v/>
      </c>
      <c r="C44" s="14">
        <f>iferror(average('Revenue Growth YoY'!C41:C44),"")</f>
        <v>0.2107952006</v>
      </c>
      <c r="D44" s="14">
        <f>iferror(average('Revenue Growth YoY'!D41:D44),"")</f>
        <v>0.1234502737</v>
      </c>
      <c r="E44" s="14">
        <f>iferror(average('Revenue Growth YoY'!E41:E44),"")</f>
        <v>0.5852709069</v>
      </c>
      <c r="F44" s="14" t="str">
        <f>iferror(average('Revenue Growth YoY'!F41:F44),"")</f>
        <v/>
      </c>
      <c r="G44" s="14" t="str">
        <f>iferror(average('Revenue Growth YoY'!G41:G44),"")</f>
        <v/>
      </c>
      <c r="H44" s="14" t="str">
        <f>iferror(average('Revenue Growth YoY'!H41:H44),"")</f>
        <v/>
      </c>
      <c r="I44" s="14" t="str">
        <f>iferror(average('Revenue Growth YoY'!I41:I44),"")</f>
        <v/>
      </c>
      <c r="J44" s="14" t="str">
        <f>iferror(average('Revenue Growth YoY'!J41:J44),"")</f>
        <v/>
      </c>
      <c r="K44" s="14" t="str">
        <f>iferror(average('Revenue Growth YoY'!K41:K44),"")</f>
        <v/>
      </c>
      <c r="L44" s="14" t="str">
        <f>iferror(average('Revenue Growth YoY'!L41:L44),"")</f>
        <v/>
      </c>
      <c r="M44" s="14" t="str">
        <f>iferror(average('Revenue Growth YoY'!M41:M44),"")</f>
        <v/>
      </c>
      <c r="N44" s="14" t="str">
        <f>iferror(average('Revenue Growth YoY'!N41:N44),"")</f>
        <v/>
      </c>
      <c r="O44" s="14">
        <f>iferror(average('Revenue Growth YoY'!O41:O44),"")</f>
        <v>0.5605830904</v>
      </c>
      <c r="P44" s="14" t="str">
        <f>iferror(average('Revenue Growth YoY'!P41:P44),"")</f>
        <v/>
      </c>
      <c r="Q44" s="14" t="str">
        <f>iferror(average('Revenue Growth YoY'!Q41:Q44),"")</f>
        <v/>
      </c>
      <c r="R44" s="14"/>
      <c r="S44" s="14" t="str">
        <f>iferror(average('Revenue Growth YoY'!S41:S44),"")</f>
        <v/>
      </c>
      <c r="T44" s="14" t="str">
        <f>iferror(average('Revenue Growth YoY'!T41:T44),"")</f>
        <v/>
      </c>
      <c r="U44" s="14" t="str">
        <f>iferror(average('Revenue Growth YoY'!U41:U44),"")</f>
        <v/>
      </c>
      <c r="V44" s="14" t="str">
        <f>iferror(average('Revenue Growth YoY'!V41:V44),"")</f>
        <v/>
      </c>
      <c r="W44" s="14" t="str">
        <f>iferror(average('Revenue Growth YoY'!W41:W44),"")</f>
        <v/>
      </c>
      <c r="X44" s="14">
        <f>iferror(average('Revenue Growth YoY'!X41:X44),"")</f>
        <v>0.3021653027</v>
      </c>
      <c r="Y44" s="14" t="str">
        <f>iferror(average('Revenue Growth YoY'!Y41:Y44),"")</f>
        <v/>
      </c>
      <c r="Z44" s="14" t="str">
        <f>iferror(average('Revenue Growth YoY'!Z41:Z44),"")</f>
        <v/>
      </c>
      <c r="AA44" s="14" t="str">
        <f>iferror(average('Revenue Growth YoY'!AA41:AA44),"")</f>
        <v/>
      </c>
      <c r="AB44" s="14" t="str">
        <f>iferror(average('Revenue Growth YoY'!AB41:AB44),"")</f>
        <v/>
      </c>
      <c r="AC44" s="14" t="str">
        <f>iferror(average('Revenue Growth YoY'!AC41:AC44),"")</f>
        <v/>
      </c>
      <c r="AD44" s="12"/>
    </row>
    <row r="45">
      <c r="A45" s="15" t="s">
        <v>72</v>
      </c>
      <c r="B45" s="14" t="str">
        <f>iferror(average('Revenue Growth YoY'!B42:B45),"")</f>
        <v/>
      </c>
      <c r="C45" s="14">
        <f>iferror(average('Revenue Growth YoY'!C42:C45),"")</f>
        <v>0.2328596408</v>
      </c>
      <c r="D45" s="14">
        <f>iferror(average('Revenue Growth YoY'!D42:D45),"")</f>
        <v>0.1573071614</v>
      </c>
      <c r="E45" s="14">
        <f>iferror(average('Revenue Growth YoY'!E42:E45),"")</f>
        <v>0.6266235105</v>
      </c>
      <c r="F45" s="14" t="str">
        <f>iferror(average('Revenue Growth YoY'!F42:F45),"")</f>
        <v/>
      </c>
      <c r="G45" s="14" t="str">
        <f>iferror(average('Revenue Growth YoY'!G42:G45),"")</f>
        <v/>
      </c>
      <c r="H45" s="14" t="str">
        <f>iferror(average('Revenue Growth YoY'!H42:H45),"")</f>
        <v/>
      </c>
      <c r="I45" s="14" t="str">
        <f>iferror(average('Revenue Growth YoY'!I42:I45),"")</f>
        <v/>
      </c>
      <c r="J45" s="14" t="str">
        <f>iferror(average('Revenue Growth YoY'!J42:J45),"")</f>
        <v/>
      </c>
      <c r="K45" s="14" t="str">
        <f>iferror(average('Revenue Growth YoY'!K42:K45),"")</f>
        <v/>
      </c>
      <c r="L45" s="14" t="str">
        <f>iferror(average('Revenue Growth YoY'!L42:L45),"")</f>
        <v/>
      </c>
      <c r="M45" s="14" t="str">
        <f>iferror(average('Revenue Growth YoY'!M42:M45),"")</f>
        <v/>
      </c>
      <c r="N45" s="14" t="str">
        <f>iferror(average('Revenue Growth YoY'!N42:N45),"")</f>
        <v/>
      </c>
      <c r="O45" s="14">
        <f>iferror(average('Revenue Growth YoY'!O42:O45),"")</f>
        <v>0.5934682549</v>
      </c>
      <c r="P45" s="14" t="str">
        <f>iferror(average('Revenue Growth YoY'!P42:P45),"")</f>
        <v/>
      </c>
      <c r="Q45" s="14" t="str">
        <f>iferror(average('Revenue Growth YoY'!Q42:Q45),"")</f>
        <v/>
      </c>
      <c r="R45" s="14"/>
      <c r="S45" s="14" t="str">
        <f>iferror(average('Revenue Growth YoY'!S42:S45),"")</f>
        <v/>
      </c>
      <c r="T45" s="14" t="str">
        <f>iferror(average('Revenue Growth YoY'!T42:T45),"")</f>
        <v/>
      </c>
      <c r="U45" s="14" t="str">
        <f>iferror(average('Revenue Growth YoY'!U42:U45),"")</f>
        <v/>
      </c>
      <c r="V45" s="14" t="str">
        <f>iferror(average('Revenue Growth YoY'!V42:V45),"")</f>
        <v/>
      </c>
      <c r="W45" s="14" t="str">
        <f>iferror(average('Revenue Growth YoY'!W42:W45),"")</f>
        <v/>
      </c>
      <c r="X45" s="14">
        <f>iferror(average('Revenue Growth YoY'!X42:X45),"")</f>
        <v>0.3441724264</v>
      </c>
      <c r="Y45" s="14" t="str">
        <f>iferror(average('Revenue Growth YoY'!Y42:Y45),"")</f>
        <v/>
      </c>
      <c r="Z45" s="14" t="str">
        <f>iferror(average('Revenue Growth YoY'!Z42:Z45),"")</f>
        <v/>
      </c>
      <c r="AA45" s="14" t="str">
        <f>iferror(average('Revenue Growth YoY'!AA42:AA45),"")</f>
        <v/>
      </c>
      <c r="AB45" s="14" t="str">
        <f>iferror(average('Revenue Growth YoY'!AB42:AB45),"")</f>
        <v/>
      </c>
      <c r="AC45" s="14" t="str">
        <f>iferror(average('Revenue Growth YoY'!AC42:AC45),"")</f>
        <v/>
      </c>
      <c r="AD45" s="12"/>
    </row>
    <row r="46">
      <c r="A46" s="15" t="s">
        <v>73</v>
      </c>
      <c r="B46" s="14" t="str">
        <f>iferror(average('Revenue Growth YoY'!B43:B46),"")</f>
        <v/>
      </c>
      <c r="C46" s="14">
        <f>iferror(average('Revenue Growth YoY'!C43:C46),"")</f>
        <v>0.2549240809</v>
      </c>
      <c r="D46" s="14">
        <f>iferror(average('Revenue Growth YoY'!D43:D46),"")</f>
        <v>0.1911640491</v>
      </c>
      <c r="E46" s="14">
        <f>iferror(average('Revenue Growth YoY'!E43:E46),"")</f>
        <v>0.6679761141</v>
      </c>
      <c r="F46" s="14" t="str">
        <f>iferror(average('Revenue Growth YoY'!F43:F46),"")</f>
        <v/>
      </c>
      <c r="G46" s="14" t="str">
        <f>iferror(average('Revenue Growth YoY'!G43:G46),"")</f>
        <v/>
      </c>
      <c r="H46" s="14" t="str">
        <f>iferror(average('Revenue Growth YoY'!H43:H46),"")</f>
        <v/>
      </c>
      <c r="I46" s="14" t="str">
        <f>iferror(average('Revenue Growth YoY'!I43:I46),"")</f>
        <v/>
      </c>
      <c r="J46" s="14" t="str">
        <f>iferror(average('Revenue Growth YoY'!J43:J46),"")</f>
        <v/>
      </c>
      <c r="K46" s="14" t="str">
        <f>iferror(average('Revenue Growth YoY'!K43:K46),"")</f>
        <v/>
      </c>
      <c r="L46" s="14" t="str">
        <f>iferror(average('Revenue Growth YoY'!L43:L46),"")</f>
        <v/>
      </c>
      <c r="M46" s="14" t="str">
        <f>iferror(average('Revenue Growth YoY'!M43:M46),"")</f>
        <v/>
      </c>
      <c r="N46" s="14" t="str">
        <f>iferror(average('Revenue Growth YoY'!N43:N46),"")</f>
        <v/>
      </c>
      <c r="O46" s="14">
        <f>iferror(average('Revenue Growth YoY'!O43:O46),"")</f>
        <v>0.6263534193</v>
      </c>
      <c r="P46" s="14" t="str">
        <f>iferror(average('Revenue Growth YoY'!P43:P46),"")</f>
        <v/>
      </c>
      <c r="Q46" s="14" t="str">
        <f>iferror(average('Revenue Growth YoY'!Q43:Q46),"")</f>
        <v/>
      </c>
      <c r="R46" s="14"/>
      <c r="S46" s="14" t="str">
        <f>iferror(average('Revenue Growth YoY'!S43:S46),"")</f>
        <v/>
      </c>
      <c r="T46" s="14" t="str">
        <f>iferror(average('Revenue Growth YoY'!T43:T46),"")</f>
        <v/>
      </c>
      <c r="U46" s="14" t="str">
        <f>iferror(average('Revenue Growth YoY'!U43:U46),"")</f>
        <v/>
      </c>
      <c r="V46" s="14" t="str">
        <f>iferror(average('Revenue Growth YoY'!V43:V46),"")</f>
        <v/>
      </c>
      <c r="W46" s="14" t="str">
        <f>iferror(average('Revenue Growth YoY'!W43:W46),"")</f>
        <v/>
      </c>
      <c r="X46" s="14">
        <f>iferror(average('Revenue Growth YoY'!X43:X46),"")</f>
        <v>0.3861795501</v>
      </c>
      <c r="Y46" s="14" t="str">
        <f>iferror(average('Revenue Growth YoY'!Y43:Y46),"")</f>
        <v/>
      </c>
      <c r="Z46" s="14" t="str">
        <f>iferror(average('Revenue Growth YoY'!Z43:Z46),"")</f>
        <v/>
      </c>
      <c r="AA46" s="14" t="str">
        <f>iferror(average('Revenue Growth YoY'!AA43:AA46),"")</f>
        <v/>
      </c>
      <c r="AB46" s="14" t="str">
        <f>iferror(average('Revenue Growth YoY'!AB43:AB46),"")</f>
        <v/>
      </c>
      <c r="AC46" s="14" t="str">
        <f>iferror(average('Revenue Growth YoY'!AC43:AC46),"")</f>
        <v/>
      </c>
      <c r="AD46" s="12"/>
    </row>
    <row r="47">
      <c r="A47" s="15" t="s">
        <v>74</v>
      </c>
      <c r="B47" s="14" t="str">
        <f>iferror(average('Revenue Growth YoY'!B44:B47),"")</f>
        <v/>
      </c>
      <c r="C47" s="14">
        <f>iferror(average('Revenue Growth YoY'!C44:C47),"")</f>
        <v>0.2755186539</v>
      </c>
      <c r="D47" s="14">
        <f>iferror(average('Revenue Growth YoY'!D44:D47),"")</f>
        <v>0.1688558848</v>
      </c>
      <c r="E47" s="14">
        <f>iferror(average('Revenue Growth YoY'!E44:E47),"")</f>
        <v>0.5836595654</v>
      </c>
      <c r="F47" s="14" t="str">
        <f>iferror(average('Revenue Growth YoY'!F44:F47),"")</f>
        <v/>
      </c>
      <c r="G47" s="14" t="str">
        <f>iferror(average('Revenue Growth YoY'!G44:G47),"")</f>
        <v/>
      </c>
      <c r="H47" s="14" t="str">
        <f>iferror(average('Revenue Growth YoY'!H44:H47),"")</f>
        <v/>
      </c>
      <c r="I47" s="14" t="str">
        <f>iferror(average('Revenue Growth YoY'!I44:I47),"")</f>
        <v/>
      </c>
      <c r="J47" s="14" t="str">
        <f>iferror(average('Revenue Growth YoY'!J44:J47),"")</f>
        <v/>
      </c>
      <c r="K47" s="14" t="str">
        <f>iferror(average('Revenue Growth YoY'!K44:K47),"")</f>
        <v/>
      </c>
      <c r="L47" s="14" t="str">
        <f>iferror(average('Revenue Growth YoY'!L44:L47),"")</f>
        <v/>
      </c>
      <c r="M47" s="14" t="str">
        <f>iferror(average('Revenue Growth YoY'!M44:M47),"")</f>
        <v/>
      </c>
      <c r="N47" s="14" t="str">
        <f>iferror(average('Revenue Growth YoY'!N44:N47),"")</f>
        <v/>
      </c>
      <c r="O47" s="14">
        <f>iferror(average('Revenue Growth YoY'!O44:O47),"")</f>
        <v>0.6592385838</v>
      </c>
      <c r="P47" s="14" t="str">
        <f>iferror(average('Revenue Growth YoY'!P44:P47),"")</f>
        <v/>
      </c>
      <c r="Q47" s="14" t="str">
        <f>iferror(average('Revenue Growth YoY'!Q44:Q47),"")</f>
        <v/>
      </c>
      <c r="R47" s="14"/>
      <c r="S47" s="14" t="str">
        <f>iferror(average('Revenue Growth YoY'!S44:S47),"")</f>
        <v/>
      </c>
      <c r="T47" s="14" t="str">
        <f>iferror(average('Revenue Growth YoY'!T44:T47),"")</f>
        <v/>
      </c>
      <c r="U47" s="14" t="str">
        <f>iferror(average('Revenue Growth YoY'!U44:U47),"")</f>
        <v/>
      </c>
      <c r="V47" s="14" t="str">
        <f>iferror(average('Revenue Growth YoY'!V44:V47),"")</f>
        <v/>
      </c>
      <c r="W47" s="14" t="str">
        <f>iferror(average('Revenue Growth YoY'!W44:W47),"")</f>
        <v/>
      </c>
      <c r="X47" s="14">
        <f>iferror(average('Revenue Growth YoY'!X44:X47),"")</f>
        <v>0.4281866738</v>
      </c>
      <c r="Y47" s="14" t="str">
        <f>iferror(average('Revenue Growth YoY'!Y44:Y47),"")</f>
        <v/>
      </c>
      <c r="Z47" s="14" t="str">
        <f>iferror(average('Revenue Growth YoY'!Z44:Z47),"")</f>
        <v/>
      </c>
      <c r="AA47" s="14" t="str">
        <f>iferror(average('Revenue Growth YoY'!AA44:AA47),"")</f>
        <v/>
      </c>
      <c r="AB47" s="14" t="str">
        <f>iferror(average('Revenue Growth YoY'!AB44:AB47),"")</f>
        <v/>
      </c>
      <c r="AC47" s="14" t="str">
        <f>iferror(average('Revenue Growth YoY'!AC44:AC47),"")</f>
        <v/>
      </c>
      <c r="AD47" s="12"/>
    </row>
    <row r="48">
      <c r="A48" s="15" t="s">
        <v>75</v>
      </c>
      <c r="B48" s="14" t="str">
        <f>iferror(average('Revenue Growth YoY'!B45:B48),"")</f>
        <v/>
      </c>
      <c r="C48" s="14">
        <f>iferror(average('Revenue Growth YoY'!C45:C48),"")</f>
        <v>0.2961132269</v>
      </c>
      <c r="D48" s="14">
        <f>iferror(average('Revenue Growth YoY'!D45:D48),"")</f>
        <v>0.1465477204</v>
      </c>
      <c r="E48" s="14">
        <f>iferror(average('Revenue Growth YoY'!E45:E48),"")</f>
        <v>0.4993430168</v>
      </c>
      <c r="F48" s="14" t="str">
        <f>iferror(average('Revenue Growth YoY'!F45:F48),"")</f>
        <v/>
      </c>
      <c r="G48" s="14" t="str">
        <f>iferror(average('Revenue Growth YoY'!G45:G48),"")</f>
        <v/>
      </c>
      <c r="H48" s="14" t="str">
        <f>iferror(average('Revenue Growth YoY'!H45:H48),"")</f>
        <v/>
      </c>
      <c r="I48" s="14" t="str">
        <f>iferror(average('Revenue Growth YoY'!I45:I48),"")</f>
        <v/>
      </c>
      <c r="J48" s="14" t="str">
        <f>iferror(average('Revenue Growth YoY'!J45:J48),"")</f>
        <v/>
      </c>
      <c r="K48" s="14" t="str">
        <f>iferror(average('Revenue Growth YoY'!K45:K48),"")</f>
        <v/>
      </c>
      <c r="L48" s="14" t="str">
        <f>iferror(average('Revenue Growth YoY'!L45:L48),"")</f>
        <v/>
      </c>
      <c r="M48" s="14" t="str">
        <f>iferror(average('Revenue Growth YoY'!M45:M48),"")</f>
        <v/>
      </c>
      <c r="N48" s="14" t="str">
        <f>iferror(average('Revenue Growth YoY'!N45:N48),"")</f>
        <v/>
      </c>
      <c r="O48" s="14">
        <f>iferror(average('Revenue Growth YoY'!O45:O48),"")</f>
        <v>0.6921237483</v>
      </c>
      <c r="P48" s="14" t="str">
        <f>iferror(average('Revenue Growth YoY'!P45:P48),"")</f>
        <v/>
      </c>
      <c r="Q48" s="14" t="str">
        <f>iferror(average('Revenue Growth YoY'!Q45:Q48),"")</f>
        <v/>
      </c>
      <c r="R48" s="14"/>
      <c r="S48" s="14" t="str">
        <f>iferror(average('Revenue Growth YoY'!S45:S48),"")</f>
        <v/>
      </c>
      <c r="T48" s="14" t="str">
        <f>iferror(average('Revenue Growth YoY'!T45:T48),"")</f>
        <v/>
      </c>
      <c r="U48" s="14" t="str">
        <f>iferror(average('Revenue Growth YoY'!U45:U48),"")</f>
        <v/>
      </c>
      <c r="V48" s="14">
        <f>iferror(average('Revenue Growth YoY'!V45:V48),"")</f>
        <v>0.01280558789</v>
      </c>
      <c r="W48" s="14" t="str">
        <f>iferror(average('Revenue Growth YoY'!W45:W48),"")</f>
        <v/>
      </c>
      <c r="X48" s="14">
        <f>iferror(average('Revenue Growth YoY'!X45:X48),"")</f>
        <v>0.4701937975</v>
      </c>
      <c r="Y48" s="14" t="str">
        <f>iferror(average('Revenue Growth YoY'!Y45:Y48),"")</f>
        <v/>
      </c>
      <c r="Z48" s="14" t="str">
        <f>iferror(average('Revenue Growth YoY'!Z45:Z48),"")</f>
        <v/>
      </c>
      <c r="AA48" s="14" t="str">
        <f>iferror(average('Revenue Growth YoY'!AA45:AA48),"")</f>
        <v/>
      </c>
      <c r="AB48" s="14" t="str">
        <f>iferror(average('Revenue Growth YoY'!AB45:AB48),"")</f>
        <v/>
      </c>
      <c r="AC48" s="14" t="str">
        <f>iferror(average('Revenue Growth YoY'!AC45:AC48),"")</f>
        <v/>
      </c>
      <c r="AD48" s="12"/>
    </row>
    <row r="49">
      <c r="A49" s="15" t="s">
        <v>76</v>
      </c>
      <c r="B49" s="14" t="str">
        <f>iferror(average('Revenue Growth YoY'!B46:B49),"")</f>
        <v/>
      </c>
      <c r="C49" s="14">
        <f>iferror(average('Revenue Growth YoY'!C46:C49),"")</f>
        <v>0.3167077998</v>
      </c>
      <c r="D49" s="14">
        <f>iferror(average('Revenue Growth YoY'!D46:D49),"")</f>
        <v>0.124239556</v>
      </c>
      <c r="E49" s="14">
        <f>iferror(average('Revenue Growth YoY'!E46:E49),"")</f>
        <v>0.4150264681</v>
      </c>
      <c r="F49" s="14" t="str">
        <f>iferror(average('Revenue Growth YoY'!F46:F49),"")</f>
        <v/>
      </c>
      <c r="G49" s="14" t="str">
        <f>iferror(average('Revenue Growth YoY'!G46:G49),"")</f>
        <v/>
      </c>
      <c r="H49" s="14" t="str">
        <f>iferror(average('Revenue Growth YoY'!H46:H49),"")</f>
        <v/>
      </c>
      <c r="I49" s="14" t="str">
        <f>iferror(average('Revenue Growth YoY'!I46:I49),"")</f>
        <v/>
      </c>
      <c r="J49" s="14" t="str">
        <f>iferror(average('Revenue Growth YoY'!J46:J49),"")</f>
        <v/>
      </c>
      <c r="K49" s="14" t="str">
        <f>iferror(average('Revenue Growth YoY'!K46:K49),"")</f>
        <v/>
      </c>
      <c r="L49" s="14" t="str">
        <f>iferror(average('Revenue Growth YoY'!L46:L49),"")</f>
        <v/>
      </c>
      <c r="M49" s="14" t="str">
        <f>iferror(average('Revenue Growth YoY'!M46:M49),"")</f>
        <v/>
      </c>
      <c r="N49" s="14" t="str">
        <f>iferror(average('Revenue Growth YoY'!N46:N49),"")</f>
        <v/>
      </c>
      <c r="O49" s="14">
        <f>iferror(average('Revenue Growth YoY'!O46:O49),"")</f>
        <v>0.5229900909</v>
      </c>
      <c r="P49" s="14" t="str">
        <f>iferror(average('Revenue Growth YoY'!P46:P49),"")</f>
        <v/>
      </c>
      <c r="Q49" s="14" t="str">
        <f>iferror(average('Revenue Growth YoY'!Q46:Q49),"")</f>
        <v/>
      </c>
      <c r="R49" s="14"/>
      <c r="S49" s="14" t="str">
        <f>iferror(average('Revenue Growth YoY'!S46:S49),"")</f>
        <v/>
      </c>
      <c r="T49" s="14" t="str">
        <f>iferror(average('Revenue Growth YoY'!T46:T49),"")</f>
        <v/>
      </c>
      <c r="U49" s="14" t="str">
        <f>iferror(average('Revenue Growth YoY'!U46:U49),"")</f>
        <v/>
      </c>
      <c r="V49" s="14">
        <f>iferror(average('Revenue Growth YoY'!V46:V49),"")</f>
        <v>0.01280558789</v>
      </c>
      <c r="W49" s="14" t="str">
        <f>iferror(average('Revenue Growth YoY'!W46:W49),"")</f>
        <v/>
      </c>
      <c r="X49" s="14">
        <f>iferror(average('Revenue Growth YoY'!X46:X49),"")</f>
        <v>0.3473453559</v>
      </c>
      <c r="Y49" s="14" t="str">
        <f>iferror(average('Revenue Growth YoY'!Y46:Y49),"")</f>
        <v/>
      </c>
      <c r="Z49" s="14" t="str">
        <f>iferror(average('Revenue Growth YoY'!Z46:Z49),"")</f>
        <v/>
      </c>
      <c r="AA49" s="14" t="str">
        <f>iferror(average('Revenue Growth YoY'!AA46:AA49),"")</f>
        <v/>
      </c>
      <c r="AB49" s="14" t="str">
        <f>iferror(average('Revenue Growth YoY'!AB46:AB49),"")</f>
        <v/>
      </c>
      <c r="AC49" s="14" t="str">
        <f>iferror(average('Revenue Growth YoY'!AC46:AC49),"")</f>
        <v/>
      </c>
      <c r="AD49" s="12"/>
    </row>
    <row r="50">
      <c r="A50" s="15" t="s">
        <v>77</v>
      </c>
      <c r="B50" s="14" t="str">
        <f>iferror(average('Revenue Growth YoY'!B47:B50),"")</f>
        <v/>
      </c>
      <c r="C50" s="14">
        <f>iferror(average('Revenue Growth YoY'!C47:C50),"")</f>
        <v>0.3373023728</v>
      </c>
      <c r="D50" s="14">
        <f>iferror(average('Revenue Growth YoY'!D47:D50),"")</f>
        <v>0.1019313917</v>
      </c>
      <c r="E50" s="14">
        <f>iferror(average('Revenue Growth YoY'!E47:E50),"")</f>
        <v>0.3307099195</v>
      </c>
      <c r="F50" s="14" t="str">
        <f>iferror(average('Revenue Growth YoY'!F47:F50),"")</f>
        <v/>
      </c>
      <c r="G50" s="14" t="str">
        <f>iferror(average('Revenue Growth YoY'!G47:G50),"")</f>
        <v/>
      </c>
      <c r="H50" s="14" t="str">
        <f>iferror(average('Revenue Growth YoY'!H47:H50),"")</f>
        <v/>
      </c>
      <c r="I50" s="14" t="str">
        <f>iferror(average('Revenue Growth YoY'!I47:I50),"")</f>
        <v/>
      </c>
      <c r="J50" s="14" t="str">
        <f>iferror(average('Revenue Growth YoY'!J47:J50),"")</f>
        <v/>
      </c>
      <c r="K50" s="14" t="str">
        <f>iferror(average('Revenue Growth YoY'!K47:K50),"")</f>
        <v/>
      </c>
      <c r="L50" s="14" t="str">
        <f>iferror(average('Revenue Growth YoY'!L47:L50),"")</f>
        <v/>
      </c>
      <c r="M50" s="14" t="str">
        <f>iferror(average('Revenue Growth YoY'!M47:M50),"")</f>
        <v/>
      </c>
      <c r="N50" s="14" t="str">
        <f>iferror(average('Revenue Growth YoY'!N47:N50),"")</f>
        <v/>
      </c>
      <c r="O50" s="14">
        <f>iferror(average('Revenue Growth YoY'!O47:O50),"")</f>
        <v>0.3538564334</v>
      </c>
      <c r="P50" s="14" t="str">
        <f>iferror(average('Revenue Growth YoY'!P47:P50),"")</f>
        <v/>
      </c>
      <c r="Q50" s="14" t="str">
        <f>iferror(average('Revenue Growth YoY'!Q47:Q50),"")</f>
        <v/>
      </c>
      <c r="R50" s="14"/>
      <c r="S50" s="14" t="str">
        <f>iferror(average('Revenue Growth YoY'!S47:S50),"")</f>
        <v/>
      </c>
      <c r="T50" s="14" t="str">
        <f>iferror(average('Revenue Growth YoY'!T47:T50),"")</f>
        <v/>
      </c>
      <c r="U50" s="14" t="str">
        <f>iferror(average('Revenue Growth YoY'!U47:U50),"")</f>
        <v/>
      </c>
      <c r="V50" s="14">
        <f>iferror(average('Revenue Growth YoY'!V47:V50),"")</f>
        <v>0.01280558789</v>
      </c>
      <c r="W50" s="14" t="str">
        <f>iferror(average('Revenue Growth YoY'!W47:W50),"")</f>
        <v/>
      </c>
      <c r="X50" s="14">
        <f>iferror(average('Revenue Growth YoY'!X47:X50),"")</f>
        <v>0.2244969142</v>
      </c>
      <c r="Y50" s="14" t="str">
        <f>iferror(average('Revenue Growth YoY'!Y47:Y50),"")</f>
        <v/>
      </c>
      <c r="Z50" s="14" t="str">
        <f>iferror(average('Revenue Growth YoY'!Z47:Z50),"")</f>
        <v/>
      </c>
      <c r="AA50" s="14" t="str">
        <f>iferror(average('Revenue Growth YoY'!AA47:AA50),"")</f>
        <v/>
      </c>
      <c r="AB50" s="14" t="str">
        <f>iferror(average('Revenue Growth YoY'!AB47:AB50),"")</f>
        <v/>
      </c>
      <c r="AC50" s="14" t="str">
        <f>iferror(average('Revenue Growth YoY'!AC47:AC50),"")</f>
        <v/>
      </c>
      <c r="AD50" s="12"/>
    </row>
    <row r="51">
      <c r="A51" s="15" t="s">
        <v>78</v>
      </c>
      <c r="B51" s="14" t="str">
        <f>iferror(average('Revenue Growth YoY'!B48:B51),"")</f>
        <v/>
      </c>
      <c r="C51" s="14">
        <f>iferror(average('Revenue Growth YoY'!C48:C51),"")</f>
        <v>0.3131163908</v>
      </c>
      <c r="D51" s="14">
        <f>iferror(average('Revenue Growth YoY'!D48:D51),"")</f>
        <v>0.05993840232</v>
      </c>
      <c r="E51" s="14">
        <f>iferror(average('Revenue Growth YoY'!E48:E51),"")</f>
        <v>0.3316033091</v>
      </c>
      <c r="F51" s="14" t="str">
        <f>iferror(average('Revenue Growth YoY'!F48:F51),"")</f>
        <v/>
      </c>
      <c r="G51" s="14" t="str">
        <f>iferror(average('Revenue Growth YoY'!G48:G51),"")</f>
        <v/>
      </c>
      <c r="H51" s="14" t="str">
        <f>iferror(average('Revenue Growth YoY'!H48:H51),"")</f>
        <v/>
      </c>
      <c r="I51" s="14" t="str">
        <f>iferror(average('Revenue Growth YoY'!I48:I51),"")</f>
        <v/>
      </c>
      <c r="J51" s="14" t="str">
        <f>iferror(average('Revenue Growth YoY'!J48:J51),"")</f>
        <v/>
      </c>
      <c r="K51" s="14" t="str">
        <f>iferror(average('Revenue Growth YoY'!K48:K51),"")</f>
        <v/>
      </c>
      <c r="L51" s="14" t="str">
        <f>iferror(average('Revenue Growth YoY'!L48:L51),"")</f>
        <v/>
      </c>
      <c r="M51" s="14" t="str">
        <f>iferror(average('Revenue Growth YoY'!M48:M51),"")</f>
        <v/>
      </c>
      <c r="N51" s="14" t="str">
        <f>iferror(average('Revenue Growth YoY'!N48:N51),"")</f>
        <v/>
      </c>
      <c r="O51" s="14">
        <f>iferror(average('Revenue Growth YoY'!O48:O51),"")</f>
        <v>0.184722776</v>
      </c>
      <c r="P51" s="14" t="str">
        <f>iferror(average('Revenue Growth YoY'!P48:P51),"")</f>
        <v/>
      </c>
      <c r="Q51" s="14" t="str">
        <f>iferror(average('Revenue Growth YoY'!Q48:Q51),"")</f>
        <v/>
      </c>
      <c r="R51" s="14"/>
      <c r="S51" s="14" t="str">
        <f>iferror(average('Revenue Growth YoY'!S48:S51),"")</f>
        <v/>
      </c>
      <c r="T51" s="14" t="str">
        <f>iferror(average('Revenue Growth YoY'!T48:T51),"")</f>
        <v/>
      </c>
      <c r="U51" s="14" t="str">
        <f>iferror(average('Revenue Growth YoY'!U48:U51),"")</f>
        <v/>
      </c>
      <c r="V51" s="14">
        <f>iferror(average('Revenue Growth YoY'!V48:V51),"")</f>
        <v>-0.02832684356</v>
      </c>
      <c r="W51" s="14" t="str">
        <f>iferror(average('Revenue Growth YoY'!W48:W51),"")</f>
        <v/>
      </c>
      <c r="X51" s="14">
        <f>iferror(average('Revenue Growth YoY'!X48:X51),"")</f>
        <v>0.1016484725</v>
      </c>
      <c r="Y51" s="14" t="str">
        <f>iferror(average('Revenue Growth YoY'!Y48:Y51),"")</f>
        <v/>
      </c>
      <c r="Z51" s="14" t="str">
        <f>iferror(average('Revenue Growth YoY'!Z48:Z51),"")</f>
        <v/>
      </c>
      <c r="AA51" s="14" t="str">
        <f>iferror(average('Revenue Growth YoY'!AA48:AA51),"")</f>
        <v/>
      </c>
      <c r="AB51" s="14" t="str">
        <f>iferror(average('Revenue Growth YoY'!AB48:AB51),"")</f>
        <v/>
      </c>
      <c r="AC51" s="14" t="str">
        <f>iferror(average('Revenue Growth YoY'!AC48:AC51),"")</f>
        <v/>
      </c>
      <c r="AD51" s="12"/>
    </row>
    <row r="52">
      <c r="A52" s="15" t="s">
        <v>79</v>
      </c>
      <c r="B52" s="14" t="str">
        <f>iferror(average('Revenue Growth YoY'!B49:B52),"")</f>
        <v/>
      </c>
      <c r="C52" s="14">
        <f>iferror(average('Revenue Growth YoY'!C49:C52),"")</f>
        <v>0.2889304088</v>
      </c>
      <c r="D52" s="14">
        <f>iferror(average('Revenue Growth YoY'!D49:D52),"")</f>
        <v>0.01794541298</v>
      </c>
      <c r="E52" s="14">
        <f>iferror(average('Revenue Growth YoY'!E49:E52),"")</f>
        <v>0.3324966988</v>
      </c>
      <c r="F52" s="14" t="str">
        <f>iferror(average('Revenue Growth YoY'!F49:F52),"")</f>
        <v/>
      </c>
      <c r="G52" s="14" t="str">
        <f>iferror(average('Revenue Growth YoY'!G49:G52),"")</f>
        <v/>
      </c>
      <c r="H52" s="14" t="str">
        <f>iferror(average('Revenue Growth YoY'!H49:H52),"")</f>
        <v/>
      </c>
      <c r="I52" s="14" t="str">
        <f>iferror(average('Revenue Growth YoY'!I49:I52),"")</f>
        <v/>
      </c>
      <c r="J52" s="14"/>
      <c r="K52" s="14" t="str">
        <f>iferror(average('Revenue Growth YoY'!K49:K52),"")</f>
        <v/>
      </c>
      <c r="L52" s="14" t="str">
        <f>iferror(average('Revenue Growth YoY'!L49:L52),"")</f>
        <v/>
      </c>
      <c r="M52" s="14" t="str">
        <f>iferror(average('Revenue Growth YoY'!M49:M52),"")</f>
        <v/>
      </c>
      <c r="N52" s="14" t="str">
        <f>iferror(average('Revenue Growth YoY'!N49:N52),"")</f>
        <v/>
      </c>
      <c r="O52" s="14">
        <f>iferror(average('Revenue Growth YoY'!O49:O52),"")</f>
        <v>0.01558911853</v>
      </c>
      <c r="P52" s="14" t="str">
        <f>iferror(average('Revenue Growth YoY'!P49:P52),"")</f>
        <v/>
      </c>
      <c r="Q52" s="14" t="str">
        <f>iferror(average('Revenue Growth YoY'!Q49:Q52),"")</f>
        <v/>
      </c>
      <c r="R52" s="14"/>
      <c r="S52" s="14" t="str">
        <f>iferror(average('Revenue Growth YoY'!S49:S52),"")</f>
        <v/>
      </c>
      <c r="T52" s="14" t="str">
        <f>iferror(average('Revenue Growth YoY'!T49:T52),"")</f>
        <v/>
      </c>
      <c r="U52" s="14" t="str">
        <f>iferror(average('Revenue Growth YoY'!U49:U52),"")</f>
        <v/>
      </c>
      <c r="V52" s="14">
        <f>iferror(average('Revenue Growth YoY'!V49:V52),"")</f>
        <v>-0.06945927502</v>
      </c>
      <c r="W52" s="14" t="str">
        <f>iferror(average('Revenue Growth YoY'!W49:W52),"")</f>
        <v/>
      </c>
      <c r="X52" s="14">
        <f>iferror(average('Revenue Growth YoY'!X49:X52),"")</f>
        <v>-0.02119996915</v>
      </c>
      <c r="Y52" s="14" t="str">
        <f>iferror(average('Revenue Growth YoY'!Y49:Y52),"")</f>
        <v/>
      </c>
      <c r="Z52" s="14" t="str">
        <f>iferror(average('Revenue Growth YoY'!Z49:Z52),"")</f>
        <v/>
      </c>
      <c r="AA52" s="14" t="str">
        <f>iferror(average('Revenue Growth YoY'!AA49:AA52),"")</f>
        <v/>
      </c>
      <c r="AB52" s="14" t="str">
        <f>iferror(average('Revenue Growth YoY'!AB49:AB52),"")</f>
        <v/>
      </c>
      <c r="AC52" s="14" t="str">
        <f>iferror(average('Revenue Growth YoY'!AC49:AC52),"")</f>
        <v/>
      </c>
      <c r="AD52" s="12"/>
    </row>
    <row r="53">
      <c r="A53" s="15" t="s">
        <v>80</v>
      </c>
      <c r="B53" s="14" t="str">
        <f>iferror(average('Revenue Growth YoY'!B50:B53),"")</f>
        <v/>
      </c>
      <c r="C53" s="14">
        <f>iferror(average('Revenue Growth YoY'!C50:C53),"")</f>
        <v>0.2647444268</v>
      </c>
      <c r="D53" s="14">
        <f>iferror(average('Revenue Growth YoY'!D50:D53),"")</f>
        <v>-0.02404757636</v>
      </c>
      <c r="E53" s="14">
        <f>iferror(average('Revenue Growth YoY'!E50:E53),"")</f>
        <v>0.3333900885</v>
      </c>
      <c r="F53" s="14" t="str">
        <f>iferror(average('Revenue Growth YoY'!F50:F53),"")</f>
        <v/>
      </c>
      <c r="G53" s="14" t="str">
        <f>iferror(average('Revenue Growth YoY'!G50:G53),"")</f>
        <v/>
      </c>
      <c r="H53" s="14" t="str">
        <f>iferror(average('Revenue Growth YoY'!H50:H53),"")</f>
        <v/>
      </c>
      <c r="I53" s="14" t="str">
        <f>iferror(average('Revenue Growth YoY'!I50:I53),"")</f>
        <v/>
      </c>
      <c r="J53" s="14"/>
      <c r="K53" s="14" t="str">
        <f>iferror(average('Revenue Growth YoY'!K50:K53),"")</f>
        <v/>
      </c>
      <c r="L53" s="14" t="str">
        <f>iferror(average('Revenue Growth YoY'!L50:L53),"")</f>
        <v/>
      </c>
      <c r="M53" s="14" t="str">
        <f>iferror(average('Revenue Growth YoY'!M50:M53),"")</f>
        <v/>
      </c>
      <c r="N53" s="14" t="str">
        <f>iferror(average('Revenue Growth YoY'!N50:N53),"")</f>
        <v/>
      </c>
      <c r="O53" s="14">
        <f>iferror(average('Revenue Growth YoY'!O50:O53),"")</f>
        <v>0.1057910692</v>
      </c>
      <c r="P53" s="14" t="str">
        <f>iferror(average('Revenue Growth YoY'!P50:P53),"")</f>
        <v/>
      </c>
      <c r="Q53" s="14" t="str">
        <f>iferror(average('Revenue Growth YoY'!Q50:Q53),"")</f>
        <v/>
      </c>
      <c r="R53" s="14"/>
      <c r="S53" s="14" t="str">
        <f>iferror(average('Revenue Growth YoY'!S50:S53),"")</f>
        <v/>
      </c>
      <c r="T53" s="14" t="str">
        <f>iferror(average('Revenue Growth YoY'!T50:T53),"")</f>
        <v/>
      </c>
      <c r="U53" s="14" t="str">
        <f>iferror(average('Revenue Growth YoY'!U50:U53),"")</f>
        <v/>
      </c>
      <c r="V53" s="14">
        <f>iferror(average('Revenue Growth YoY'!V50:V53),"")</f>
        <v>-0.1105917065</v>
      </c>
      <c r="W53" s="14" t="str">
        <f>iferror(average('Revenue Growth YoY'!W50:W53),"")</f>
        <v/>
      </c>
      <c r="X53" s="14">
        <f>iferror(average('Revenue Growth YoY'!X50:X53),"")</f>
        <v>0.01087291478</v>
      </c>
      <c r="Y53" s="14" t="str">
        <f>iferror(average('Revenue Growth YoY'!Y50:Y53),"")</f>
        <v/>
      </c>
      <c r="Z53" s="14" t="str">
        <f>iferror(average('Revenue Growth YoY'!Z50:Z53),"")</f>
        <v/>
      </c>
      <c r="AA53" s="14" t="str">
        <f>iferror(average('Revenue Growth YoY'!AA50:AA53),"")</f>
        <v/>
      </c>
      <c r="AB53" s="14" t="str">
        <f>iferror(average('Revenue Growth YoY'!AB50:AB53),"")</f>
        <v/>
      </c>
      <c r="AC53" s="14" t="str">
        <f>iferror(average('Revenue Growth YoY'!AC50:AC53),"")</f>
        <v/>
      </c>
      <c r="AD53" s="12"/>
    </row>
    <row r="54">
      <c r="A54" s="15" t="s">
        <v>81</v>
      </c>
      <c r="B54" s="14" t="str">
        <f>iferror(average('Revenue Growth YoY'!B51:B54),"")</f>
        <v/>
      </c>
      <c r="C54" s="14">
        <f>iferror(average('Revenue Growth YoY'!C51:C54),"")</f>
        <v>0.2405584447</v>
      </c>
      <c r="D54" s="14">
        <f>iferror(average('Revenue Growth YoY'!D51:D54),"")</f>
        <v>-0.0660405657</v>
      </c>
      <c r="E54" s="14">
        <f>iferror(average('Revenue Growth YoY'!E51:E54),"")</f>
        <v>0.3342834782</v>
      </c>
      <c r="F54" s="14" t="str">
        <f>iferror(average('Revenue Growth YoY'!F51:F54),"")</f>
        <v/>
      </c>
      <c r="G54" s="14" t="str">
        <f>iferror(average('Revenue Growth YoY'!G51:G54),"")</f>
        <v/>
      </c>
      <c r="H54" s="14" t="str">
        <f>iferror(average('Revenue Growth YoY'!H51:H54),"")</f>
        <v/>
      </c>
      <c r="I54" s="14" t="str">
        <f>iferror(average('Revenue Growth YoY'!I51:I54),"")</f>
        <v/>
      </c>
      <c r="J54" s="14"/>
      <c r="K54" s="14" t="str">
        <f>iferror(average('Revenue Growth YoY'!K51:K54),"")</f>
        <v/>
      </c>
      <c r="L54" s="14" t="str">
        <f>iferror(average('Revenue Growth YoY'!L51:L54),"")</f>
        <v/>
      </c>
      <c r="M54" s="14" t="str">
        <f>iferror(average('Revenue Growth YoY'!M51:M54),"")</f>
        <v/>
      </c>
      <c r="N54" s="14" t="str">
        <f>iferror(average('Revenue Growth YoY'!N51:N54),"")</f>
        <v/>
      </c>
      <c r="O54" s="14">
        <f>iferror(average('Revenue Growth YoY'!O51:O54),"")</f>
        <v>0.1959930199</v>
      </c>
      <c r="P54" s="14" t="str">
        <f>iferror(average('Revenue Growth YoY'!P51:P54),"")</f>
        <v/>
      </c>
      <c r="Q54" s="14" t="str">
        <f>iferror(average('Revenue Growth YoY'!Q51:Q54),"")</f>
        <v/>
      </c>
      <c r="R54" s="14"/>
      <c r="S54" s="14" t="str">
        <f>iferror(average('Revenue Growth YoY'!S51:S54),"")</f>
        <v/>
      </c>
      <c r="T54" s="14" t="str">
        <f>iferror(average('Revenue Growth YoY'!T51:T54),"")</f>
        <v/>
      </c>
      <c r="U54" s="14" t="str">
        <f>iferror(average('Revenue Growth YoY'!U51:U54),"")</f>
        <v/>
      </c>
      <c r="V54" s="14">
        <f>iferror(average('Revenue Growth YoY'!V51:V54),"")</f>
        <v>-0.1517241379</v>
      </c>
      <c r="W54" s="14" t="str">
        <f>iferror(average('Revenue Growth YoY'!W51:W54),"")</f>
        <v/>
      </c>
      <c r="X54" s="14">
        <f>iferror(average('Revenue Growth YoY'!X51:X54),"")</f>
        <v>0.04294579871</v>
      </c>
      <c r="Y54" s="14" t="str">
        <f>iferror(average('Revenue Growth YoY'!Y51:Y54),"")</f>
        <v/>
      </c>
      <c r="Z54" s="14" t="str">
        <f>iferror(average('Revenue Growth YoY'!Z51:Z54),"")</f>
        <v/>
      </c>
      <c r="AA54" s="14" t="str">
        <f>iferror(average('Revenue Growth YoY'!AA51:AA54),"")</f>
        <v/>
      </c>
      <c r="AB54" s="14" t="str">
        <f>iferror(average('Revenue Growth YoY'!AB51:AB54),"")</f>
        <v/>
      </c>
      <c r="AC54" s="14" t="str">
        <f>iferror(average('Revenue Growth YoY'!AC51:AC54),"")</f>
        <v/>
      </c>
      <c r="AD54" s="12"/>
    </row>
    <row r="55">
      <c r="A55" s="15" t="s">
        <v>82</v>
      </c>
      <c r="B55" s="14" t="str">
        <f>iferror(average('Revenue Growth YoY'!B52:B55),"")</f>
        <v/>
      </c>
      <c r="C55" s="14">
        <f>iferror(average('Revenue Growth YoY'!C52:C55),"")</f>
        <v>0.2602547295</v>
      </c>
      <c r="D55" s="14">
        <f>iferror(average('Revenue Growth YoY'!D52:D55),"")</f>
        <v>-0.02304586384</v>
      </c>
      <c r="E55" s="14">
        <f>iferror(average('Revenue Growth YoY'!E52:E55),"")</f>
        <v>0.3756497026</v>
      </c>
      <c r="F55" s="14"/>
      <c r="G55" s="14" t="str">
        <f>iferror(average('Revenue Growth YoY'!G52:G55),"")</f>
        <v/>
      </c>
      <c r="H55" s="14" t="str">
        <f>iferror(average('Revenue Growth YoY'!H52:H55),"")</f>
        <v/>
      </c>
      <c r="I55" s="14" t="str">
        <f>iferror(average('Revenue Growth YoY'!I52:I55),"")</f>
        <v/>
      </c>
      <c r="J55" s="14">
        <f>iferror(average('Revenue Growth YoY'!J52:J55),"")</f>
        <v>0.2189286965</v>
      </c>
      <c r="K55" s="14" t="str">
        <f>iferror(average('Revenue Growth YoY'!K52:K55),"")</f>
        <v/>
      </c>
      <c r="L55" s="14">
        <f>iferror(average('Revenue Growth YoY'!L52:L55),"")</f>
        <v>0.3988971073</v>
      </c>
      <c r="M55" s="14" t="str">
        <f>iferror(average('Revenue Growth YoY'!M52:M55),"")</f>
        <v/>
      </c>
      <c r="N55" s="14" t="str">
        <f>iferror(average('Revenue Growth YoY'!N52:N55),"")</f>
        <v/>
      </c>
      <c r="O55" s="14">
        <f>iferror(average('Revenue Growth YoY'!O52:O55),"")</f>
        <v>0.2861949706</v>
      </c>
      <c r="P55" s="14" t="str">
        <f>iferror(average('Revenue Growth YoY'!P52:P55),"")</f>
        <v/>
      </c>
      <c r="Q55" s="14" t="str">
        <f>iferror(average('Revenue Growth YoY'!Q52:Q55),"")</f>
        <v/>
      </c>
      <c r="R55" s="14"/>
      <c r="S55" s="14" t="str">
        <f>iferror(average('Revenue Growth YoY'!S52:S55),"")</f>
        <v/>
      </c>
      <c r="T55" s="14" t="str">
        <f>iferror(average('Revenue Growth YoY'!T52:T55),"")</f>
        <v/>
      </c>
      <c r="U55" s="14" t="str">
        <f>iferror(average('Revenue Growth YoY'!U52:U55),"")</f>
        <v/>
      </c>
      <c r="V55" s="14">
        <f>iferror(average('Revenue Growth YoY'!V52:V55),"")</f>
        <v>-0.1071918162</v>
      </c>
      <c r="W55" s="14" t="str">
        <f>iferror(average('Revenue Growth YoY'!W52:W55),"")</f>
        <v/>
      </c>
      <c r="X55" s="14">
        <f>iferror(average('Revenue Growth YoY'!X52:X55),"")</f>
        <v>0.07501868264</v>
      </c>
      <c r="Y55" s="14" t="str">
        <f>iferror(average('Revenue Growth YoY'!Y52:Y55),"")</f>
        <v/>
      </c>
      <c r="Z55" s="14" t="str">
        <f>iferror(average('Revenue Growth YoY'!Z52:Z55),"")</f>
        <v/>
      </c>
      <c r="AA55" s="14" t="str">
        <f>iferror(average('Revenue Growth YoY'!AA52:AA55),"")</f>
        <v/>
      </c>
      <c r="AB55" s="14" t="str">
        <f>iferror(average('Revenue Growth YoY'!AB52:AB55),"")</f>
        <v/>
      </c>
      <c r="AC55" s="14" t="str">
        <f>iferror(average('Revenue Growth YoY'!AC52:AC55),"")</f>
        <v/>
      </c>
      <c r="AD55" s="12"/>
    </row>
    <row r="56">
      <c r="A56" s="15" t="s">
        <v>83</v>
      </c>
      <c r="B56" s="14" t="str">
        <f>iferror(average('Revenue Growth YoY'!B53:B56),"")</f>
        <v/>
      </c>
      <c r="C56" s="14">
        <f>iferror(average('Revenue Growth YoY'!C53:C56),"")</f>
        <v>0.2799510143</v>
      </c>
      <c r="D56" s="14">
        <f>iferror(average('Revenue Growth YoY'!D53:D56),"")</f>
        <v>0.01994883803</v>
      </c>
      <c r="E56" s="14">
        <f>iferror(average('Revenue Growth YoY'!E53:E56),"")</f>
        <v>0.4170159271</v>
      </c>
      <c r="F56" s="14"/>
      <c r="G56" s="14" t="str">
        <f>iferror(average('Revenue Growth YoY'!G53:G56),"")</f>
        <v/>
      </c>
      <c r="H56" s="14" t="str">
        <f>iferror(average('Revenue Growth YoY'!H53:H56),"")</f>
        <v/>
      </c>
      <c r="I56" s="14" t="str">
        <f>iferror(average('Revenue Growth YoY'!I53:I56),"")</f>
        <v/>
      </c>
      <c r="J56" s="14">
        <f>iferror(average('Revenue Growth YoY'!J53:J56),"")</f>
        <v>0.2873445597</v>
      </c>
      <c r="K56" s="14" t="str">
        <f>iferror(average('Revenue Growth YoY'!K53:K56),"")</f>
        <v/>
      </c>
      <c r="L56" s="14">
        <f>iferror(average('Revenue Growth YoY'!L53:L56),"")</f>
        <v>0.3988971073</v>
      </c>
      <c r="M56" s="14" t="str">
        <f>iferror(average('Revenue Growth YoY'!M53:M56),"")</f>
        <v/>
      </c>
      <c r="N56" s="14" t="str">
        <f>iferror(average('Revenue Growth YoY'!N53:N56),"")</f>
        <v/>
      </c>
      <c r="O56" s="14">
        <f>iferror(average('Revenue Growth YoY'!O53:O56),"")</f>
        <v>0.3763969213</v>
      </c>
      <c r="P56" s="14" t="str">
        <f>iferror(average('Revenue Growth YoY'!P53:P56),"")</f>
        <v/>
      </c>
      <c r="Q56" s="14" t="str">
        <f>iferror(average('Revenue Growth YoY'!Q53:Q56),"")</f>
        <v/>
      </c>
      <c r="R56" s="14"/>
      <c r="S56" s="14" t="str">
        <f>iferror(average('Revenue Growth YoY'!S53:S56),"")</f>
        <v/>
      </c>
      <c r="T56" s="14" t="str">
        <f>iferror(average('Revenue Growth YoY'!T53:T56),"")</f>
        <v/>
      </c>
      <c r="U56" s="14" t="str">
        <f>iferror(average('Revenue Growth YoY'!U53:U56),"")</f>
        <v/>
      </c>
      <c r="V56" s="14">
        <f>iferror(average('Revenue Growth YoY'!V53:V56),"")</f>
        <v>-0.06265949444</v>
      </c>
      <c r="W56" s="14" t="str">
        <f>iferror(average('Revenue Growth YoY'!W53:W56),"")</f>
        <v/>
      </c>
      <c r="X56" s="14">
        <f>iferror(average('Revenue Growth YoY'!X53:X56),"")</f>
        <v>0.1070915666</v>
      </c>
      <c r="Y56" s="14" t="str">
        <f>iferror(average('Revenue Growth YoY'!Y53:Y56),"")</f>
        <v/>
      </c>
      <c r="Z56" s="14" t="str">
        <f>iferror(average('Revenue Growth YoY'!Z53:Z56),"")</f>
        <v/>
      </c>
      <c r="AA56" s="14" t="str">
        <f>iferror(average('Revenue Growth YoY'!AA53:AA56),"")</f>
        <v/>
      </c>
      <c r="AB56" s="14" t="str">
        <f>iferror(average('Revenue Growth YoY'!AB53:AB56),"")</f>
        <v/>
      </c>
      <c r="AC56" s="14" t="str">
        <f>iferror(average('Revenue Growth YoY'!AC53:AC56),"")</f>
        <v/>
      </c>
      <c r="AD56" s="12"/>
    </row>
    <row r="57">
      <c r="A57" s="15" t="s">
        <v>84</v>
      </c>
      <c r="B57" s="14" t="str">
        <f>iferror(average('Revenue Growth YoY'!B54:B57),"")</f>
        <v/>
      </c>
      <c r="C57" s="14">
        <f>iferror(average('Revenue Growth YoY'!C54:C57),"")</f>
        <v>0.2996472991</v>
      </c>
      <c r="D57" s="14">
        <f>iferror(average('Revenue Growth YoY'!D54:D57),"")</f>
        <v>0.06294353989</v>
      </c>
      <c r="E57" s="14">
        <f>iferror(average('Revenue Growth YoY'!E54:E57),"")</f>
        <v>0.4583821516</v>
      </c>
      <c r="F57" s="14"/>
      <c r="G57" s="14" t="str">
        <f>iferror(average('Revenue Growth YoY'!G54:G57),"")</f>
        <v/>
      </c>
      <c r="H57" s="14" t="str">
        <f>iferror(average('Revenue Growth YoY'!H54:H57),"")</f>
        <v/>
      </c>
      <c r="I57" s="14" t="str">
        <f>iferror(average('Revenue Growth YoY'!I54:I57),"")</f>
        <v/>
      </c>
      <c r="J57" s="14">
        <f>iferror(average('Revenue Growth YoY'!J54:J57),"")</f>
        <v>0.3557604229</v>
      </c>
      <c r="K57" s="14" t="str">
        <f>iferror(average('Revenue Growth YoY'!K54:K57),"")</f>
        <v/>
      </c>
      <c r="L57" s="14">
        <f>iferror(average('Revenue Growth YoY'!L54:L57),"")</f>
        <v>0.3988971073</v>
      </c>
      <c r="M57" s="14" t="str">
        <f>iferror(average('Revenue Growth YoY'!M54:M57),"")</f>
        <v/>
      </c>
      <c r="N57" s="14" t="str">
        <f>iferror(average('Revenue Growth YoY'!N54:N57),"")</f>
        <v/>
      </c>
      <c r="O57" s="14">
        <f>iferror(average('Revenue Growth YoY'!O54:O57),"")</f>
        <v>0.4016623642</v>
      </c>
      <c r="P57" s="14" t="str">
        <f>iferror(average('Revenue Growth YoY'!P54:P57),"")</f>
        <v/>
      </c>
      <c r="Q57" s="14" t="str">
        <f>iferror(average('Revenue Growth YoY'!Q54:Q57),"")</f>
        <v/>
      </c>
      <c r="R57" s="14"/>
      <c r="S57" s="14" t="str">
        <f>iferror(average('Revenue Growth YoY'!S54:S57),"")</f>
        <v/>
      </c>
      <c r="T57" s="14" t="str">
        <f>iferror(average('Revenue Growth YoY'!T54:T57),"")</f>
        <v/>
      </c>
      <c r="U57" s="14" t="str">
        <f>iferror(average('Revenue Growth YoY'!U54:U57),"")</f>
        <v/>
      </c>
      <c r="V57" s="14">
        <f>iferror(average('Revenue Growth YoY'!V54:V57),"")</f>
        <v>-0.01812717269</v>
      </c>
      <c r="W57" s="14" t="str">
        <f>iferror(average('Revenue Growth YoY'!W54:W57),"")</f>
        <v/>
      </c>
      <c r="X57" s="14">
        <f>iferror(average('Revenue Growth YoY'!X54:X57),"")</f>
        <v>0.1549070585</v>
      </c>
      <c r="Y57" s="14" t="str">
        <f>iferror(average('Revenue Growth YoY'!Y54:Y57),"")</f>
        <v/>
      </c>
      <c r="Z57" s="14" t="str">
        <f>iferror(average('Revenue Growth YoY'!Z54:Z57),"")</f>
        <v/>
      </c>
      <c r="AA57" s="14" t="str">
        <f>iferror(average('Revenue Growth YoY'!AA54:AA57),"")</f>
        <v/>
      </c>
      <c r="AB57" s="14" t="str">
        <f>iferror(average('Revenue Growth YoY'!AB54:AB57),"")</f>
        <v/>
      </c>
      <c r="AC57" s="14" t="str">
        <f>iferror(average('Revenue Growth YoY'!AC54:AC57),"")</f>
        <v/>
      </c>
      <c r="AD57" s="12"/>
    </row>
    <row r="58">
      <c r="A58" s="15" t="s">
        <v>85</v>
      </c>
      <c r="B58" s="14" t="str">
        <f>iferror(average('Revenue Growth YoY'!B55:B58),"")</f>
        <v/>
      </c>
      <c r="C58" s="14">
        <f>iferror(average('Revenue Growth YoY'!C55:C58),"")</f>
        <v>0.3193435839</v>
      </c>
      <c r="D58" s="14">
        <f>iferror(average('Revenue Growth YoY'!D55:D58),"")</f>
        <v>0.1059382418</v>
      </c>
      <c r="E58" s="14">
        <f>iferror(average('Revenue Growth YoY'!E55:E58),"")</f>
        <v>0.4997483761</v>
      </c>
      <c r="F58" s="14"/>
      <c r="G58" s="14" t="str">
        <f>iferror(average('Revenue Growth YoY'!G55:G58),"")</f>
        <v/>
      </c>
      <c r="H58" s="14" t="str">
        <f>iferror(average('Revenue Growth YoY'!H55:H58),"")</f>
        <v/>
      </c>
      <c r="I58" s="14" t="str">
        <f>iferror(average('Revenue Growth YoY'!I55:I58),"")</f>
        <v/>
      </c>
      <c r="J58" s="14">
        <f>iferror(average('Revenue Growth YoY'!J55:J58),"")</f>
        <v>0.4241762861</v>
      </c>
      <c r="K58" s="14" t="str">
        <f>iferror(average('Revenue Growth YoY'!K55:K58),"")</f>
        <v/>
      </c>
      <c r="L58" s="14">
        <f>iferror(average('Revenue Growth YoY'!L55:L58),"")</f>
        <v>0.3988971073</v>
      </c>
      <c r="M58" s="14" t="str">
        <f>iferror(average('Revenue Growth YoY'!M55:M58),"")</f>
        <v/>
      </c>
      <c r="N58" s="14" t="str">
        <f>iferror(average('Revenue Growth YoY'!N55:N58),"")</f>
        <v/>
      </c>
      <c r="O58" s="14">
        <f>iferror(average('Revenue Growth YoY'!O55:O58),"")</f>
        <v>0.426927807</v>
      </c>
      <c r="P58" s="14" t="str">
        <f>iferror(average('Revenue Growth YoY'!P55:P58),"")</f>
        <v/>
      </c>
      <c r="Q58" s="14" t="str">
        <f>iferror(average('Revenue Growth YoY'!Q55:Q58),"")</f>
        <v/>
      </c>
      <c r="R58" s="14"/>
      <c r="S58" s="14" t="str">
        <f>iferror(average('Revenue Growth YoY'!S55:S58),"")</f>
        <v/>
      </c>
      <c r="T58" s="14" t="str">
        <f>iferror(average('Revenue Growth YoY'!T55:T58),"")</f>
        <v/>
      </c>
      <c r="U58" s="14" t="str">
        <f>iferror(average('Revenue Growth YoY'!U55:U58),"")</f>
        <v/>
      </c>
      <c r="V58" s="14">
        <f>iferror(average('Revenue Growth YoY'!V55:V58),"")</f>
        <v>0.02640514905</v>
      </c>
      <c r="W58" s="14" t="str">
        <f>iferror(average('Revenue Growth YoY'!W55:W58),"")</f>
        <v/>
      </c>
      <c r="X58" s="14">
        <f>iferror(average('Revenue Growth YoY'!X55:X58),"")</f>
        <v>0.2027225505</v>
      </c>
      <c r="Y58" s="14" t="str">
        <f>iferror(average('Revenue Growth YoY'!Y55:Y58),"")</f>
        <v/>
      </c>
      <c r="Z58" s="14" t="str">
        <f>iferror(average('Revenue Growth YoY'!Z55:Z58),"")</f>
        <v/>
      </c>
      <c r="AA58" s="14" t="str">
        <f>iferror(average('Revenue Growth YoY'!AA55:AA58),"")</f>
        <v/>
      </c>
      <c r="AB58" s="14" t="str">
        <f>iferror(average('Revenue Growth YoY'!AB55:AB58),"")</f>
        <v/>
      </c>
      <c r="AC58" s="14" t="str">
        <f>iferror(average('Revenue Growth YoY'!AC55:AC58),"")</f>
        <v/>
      </c>
      <c r="AD58" s="12"/>
    </row>
    <row r="59">
      <c r="A59" s="15" t="s">
        <v>86</v>
      </c>
      <c r="B59" s="14" t="str">
        <f>iferror(average('Revenue Growth YoY'!B56:B59),"")</f>
        <v/>
      </c>
      <c r="C59" s="14">
        <f>iferror(average('Revenue Growth YoY'!C56:C59),"")</f>
        <v>0.3424853323</v>
      </c>
      <c r="D59" s="14">
        <f>iferror(average('Revenue Growth YoY'!D56:D59),"")</f>
        <v>0.113683461</v>
      </c>
      <c r="E59" s="14">
        <f>iferror(average('Revenue Growth YoY'!E56:E59),"")</f>
        <v>0.4436105736</v>
      </c>
      <c r="F59" s="14">
        <f>iferror(average('Revenue Growth YoY'!F56:F59),"")</f>
        <v>0.3609722741</v>
      </c>
      <c r="G59" s="14" t="str">
        <f>iferror(average('Revenue Growth YoY'!G56:G59),"")</f>
        <v/>
      </c>
      <c r="H59" s="14" t="str">
        <f>iferror(average('Revenue Growth YoY'!H56:H59),"")</f>
        <v/>
      </c>
      <c r="I59" s="14" t="str">
        <f>iferror(average('Revenue Growth YoY'!I56:I59),"")</f>
        <v/>
      </c>
      <c r="J59" s="14">
        <f>iferror(average('Revenue Growth YoY'!J56:J59),"")</f>
        <v>0.4925921494</v>
      </c>
      <c r="K59" s="14" t="str">
        <f>iferror(average('Revenue Growth YoY'!K56:K59),"")</f>
        <v/>
      </c>
      <c r="L59" s="14">
        <f>iferror(average('Revenue Growth YoY'!L56:L59),"")</f>
        <v>0.3245575154</v>
      </c>
      <c r="M59" s="14" t="str">
        <f>iferror(average('Revenue Growth YoY'!M56:M59),"")</f>
        <v/>
      </c>
      <c r="N59" s="14" t="str">
        <f>iferror(average('Revenue Growth YoY'!N56:N59),"")</f>
        <v/>
      </c>
      <c r="O59" s="14">
        <f>iferror(average('Revenue Growth YoY'!O56:O59),"")</f>
        <v>0.4521932499</v>
      </c>
      <c r="P59" s="14" t="str">
        <f>iferror(average('Revenue Growth YoY'!P56:P59),"")</f>
        <v/>
      </c>
      <c r="Q59" s="14" t="str">
        <f>iferror(average('Revenue Growth YoY'!Q56:Q59),"")</f>
        <v/>
      </c>
      <c r="R59" s="14"/>
      <c r="S59" s="14" t="str">
        <f>iferror(average('Revenue Growth YoY'!S56:S59),"")</f>
        <v/>
      </c>
      <c r="T59" s="14" t="str">
        <f>iferror(average('Revenue Growth YoY'!T56:T59),"")</f>
        <v/>
      </c>
      <c r="U59" s="14" t="str">
        <f>iferror(average('Revenue Growth YoY'!U56:U59),"")</f>
        <v/>
      </c>
      <c r="V59" s="14">
        <f>iferror(average('Revenue Growth YoY'!V56:V59),"")</f>
        <v>0.0232138213</v>
      </c>
      <c r="W59" s="14" t="str">
        <f>iferror(average('Revenue Growth YoY'!W56:W59),"")</f>
        <v/>
      </c>
      <c r="X59" s="14">
        <f>iferror(average('Revenue Growth YoY'!X56:X59),"")</f>
        <v>0.2505380425</v>
      </c>
      <c r="Y59" s="14" t="str">
        <f>iferror(average('Revenue Growth YoY'!Y56:Y59),"")</f>
        <v/>
      </c>
      <c r="Z59" s="14" t="str">
        <f>iferror(average('Revenue Growth YoY'!Z56:Z59),"")</f>
        <v/>
      </c>
      <c r="AA59" s="14" t="str">
        <f>iferror(average('Revenue Growth YoY'!AA56:AA59),"")</f>
        <v/>
      </c>
      <c r="AB59" s="14" t="str">
        <f>iferror(average('Revenue Growth YoY'!AB56:AB59),"")</f>
        <v/>
      </c>
      <c r="AC59" s="14" t="str">
        <f>iferror(average('Revenue Growth YoY'!AC56:AC59),"")</f>
        <v/>
      </c>
      <c r="AD59" s="12"/>
    </row>
    <row r="60">
      <c r="A60" s="15" t="s">
        <v>87</v>
      </c>
      <c r="B60" s="14" t="str">
        <f>iferror(average('Revenue Growth YoY'!B57:B60),"")</f>
        <v/>
      </c>
      <c r="C60" s="14">
        <f>iferror(average('Revenue Growth YoY'!C57:C60),"")</f>
        <v>0.3656270807</v>
      </c>
      <c r="D60" s="14">
        <f>iferror(average('Revenue Growth YoY'!D57:D60),"")</f>
        <v>0.1214286803</v>
      </c>
      <c r="E60" s="14">
        <f>iferror(average('Revenue Growth YoY'!E57:E60),"")</f>
        <v>0.3874727712</v>
      </c>
      <c r="F60" s="14">
        <f>iferror(average('Revenue Growth YoY'!F57:F60),"")</f>
        <v>0.3454885953</v>
      </c>
      <c r="G60" s="14" t="str">
        <f>iferror(average('Revenue Growth YoY'!G57:G60),"")</f>
        <v/>
      </c>
      <c r="H60" s="14" t="str">
        <f>iferror(average('Revenue Growth YoY'!H57:H60),"")</f>
        <v/>
      </c>
      <c r="I60" s="14" t="str">
        <f>iferror(average('Revenue Growth YoY'!I57:I60),"")</f>
        <v/>
      </c>
      <c r="J60" s="14">
        <f>iferror(average('Revenue Growth YoY'!J57:J60),"")</f>
        <v>0.5135216932</v>
      </c>
      <c r="K60" s="14" t="str">
        <f>iferror(average('Revenue Growth YoY'!K57:K60),"")</f>
        <v/>
      </c>
      <c r="L60" s="14">
        <f>iferror(average('Revenue Growth YoY'!L57:L60),"")</f>
        <v>0.2502179236</v>
      </c>
      <c r="M60" s="14" t="str">
        <f>iferror(average('Revenue Growth YoY'!M57:M60),"")</f>
        <v/>
      </c>
      <c r="N60" s="14" t="str">
        <f>iferror(average('Revenue Growth YoY'!N57:N60),"")</f>
        <v/>
      </c>
      <c r="O60" s="14">
        <f>iferror(average('Revenue Growth YoY'!O57:O60),"")</f>
        <v>0.4774586927</v>
      </c>
      <c r="P60" s="14" t="str">
        <f>iferror(average('Revenue Growth YoY'!P57:P60),"")</f>
        <v/>
      </c>
      <c r="Q60" s="14" t="str">
        <f>iferror(average('Revenue Growth YoY'!Q57:Q60),"")</f>
        <v/>
      </c>
      <c r="R60" s="14"/>
      <c r="S60" s="14" t="str">
        <f>iferror(average('Revenue Growth YoY'!S57:S60),"")</f>
        <v/>
      </c>
      <c r="T60" s="14" t="str">
        <f>iferror(average('Revenue Growth YoY'!T57:T60),"")</f>
        <v/>
      </c>
      <c r="U60" s="14" t="str">
        <f>iferror(average('Revenue Growth YoY'!U57:U60),"")</f>
        <v/>
      </c>
      <c r="V60" s="14">
        <f>iferror(average('Revenue Growth YoY'!V57:V60),"")</f>
        <v>0.02002249355</v>
      </c>
      <c r="W60" s="14" t="str">
        <f>iferror(average('Revenue Growth YoY'!W57:W60),"")</f>
        <v/>
      </c>
      <c r="X60" s="14">
        <f>iferror(average('Revenue Growth YoY'!X57:X60),"")</f>
        <v>0.2983535344</v>
      </c>
      <c r="Y60" s="14" t="str">
        <f>iferror(average('Revenue Growth YoY'!Y57:Y60),"")</f>
        <v/>
      </c>
      <c r="Z60" s="14" t="str">
        <f>iferror(average('Revenue Growth YoY'!Z57:Z60),"")</f>
        <v/>
      </c>
      <c r="AA60" s="14" t="str">
        <f>iferror(average('Revenue Growth YoY'!AA57:AA60),"")</f>
        <v/>
      </c>
      <c r="AB60" s="14" t="str">
        <f>iferror(average('Revenue Growth YoY'!AB57:AB60),"")</f>
        <v/>
      </c>
      <c r="AC60" s="14" t="str">
        <f>iferror(average('Revenue Growth YoY'!AC57:AC60),"")</f>
        <v/>
      </c>
      <c r="AD60" s="12"/>
    </row>
    <row r="61">
      <c r="A61" s="15" t="s">
        <v>88</v>
      </c>
      <c r="B61" s="14" t="str">
        <f>iferror(average('Revenue Growth YoY'!B58:B61),"")</f>
        <v/>
      </c>
      <c r="C61" s="14">
        <f>iferror(average('Revenue Growth YoY'!C58:C61),"")</f>
        <v>0.3887688291</v>
      </c>
      <c r="D61" s="14">
        <f>iferror(average('Revenue Growth YoY'!D58:D61),"")</f>
        <v>0.1291738995</v>
      </c>
      <c r="E61" s="14">
        <f>iferror(average('Revenue Growth YoY'!E58:E61),"")</f>
        <v>0.3313349687</v>
      </c>
      <c r="F61" s="14">
        <f>iferror(average('Revenue Growth YoY'!F58:F61),"")</f>
        <v>0.3300049164</v>
      </c>
      <c r="G61" s="14" t="str">
        <f>iferror(average('Revenue Growth YoY'!G58:G61),"")</f>
        <v/>
      </c>
      <c r="H61" s="14" t="str">
        <f>iferror(average('Revenue Growth YoY'!H58:H61),"")</f>
        <v/>
      </c>
      <c r="I61" s="14" t="str">
        <f>iferror(average('Revenue Growth YoY'!I58:I61),"")</f>
        <v/>
      </c>
      <c r="J61" s="14">
        <f>iferror(average('Revenue Growth YoY'!J58:J61),"")</f>
        <v>0.534451237</v>
      </c>
      <c r="K61" s="14" t="str">
        <f>iferror(average('Revenue Growth YoY'!K58:K61),"")</f>
        <v/>
      </c>
      <c r="L61" s="14">
        <f>iferror(average('Revenue Growth YoY'!L58:L61),"")</f>
        <v>0.1758783317</v>
      </c>
      <c r="M61" s="14" t="str">
        <f>iferror(average('Revenue Growth YoY'!M58:M61),"")</f>
        <v/>
      </c>
      <c r="N61" s="14" t="str">
        <f>iferror(average('Revenue Growth YoY'!N58:N61),"")</f>
        <v/>
      </c>
      <c r="O61" s="14">
        <f>iferror(average('Revenue Growth YoY'!O58:O61),"")</f>
        <v>0.4222645708</v>
      </c>
      <c r="P61" s="14" t="str">
        <f>iferror(average('Revenue Growth YoY'!P58:P61),"")</f>
        <v/>
      </c>
      <c r="Q61" s="14" t="str">
        <f>iferror(average('Revenue Growth YoY'!Q58:Q61),"")</f>
        <v/>
      </c>
      <c r="R61" s="14"/>
      <c r="S61" s="14" t="str">
        <f>iferror(average('Revenue Growth YoY'!S58:S61),"")</f>
        <v/>
      </c>
      <c r="T61" s="14" t="str">
        <f>iferror(average('Revenue Growth YoY'!T58:T61),"")</f>
        <v/>
      </c>
      <c r="U61" s="14" t="str">
        <f>iferror(average('Revenue Growth YoY'!U58:U61),"")</f>
        <v/>
      </c>
      <c r="V61" s="14">
        <f>iferror(average('Revenue Growth YoY'!V58:V61),"")</f>
        <v>0.0168311658</v>
      </c>
      <c r="W61" s="14" t="str">
        <f>iferror(average('Revenue Growth YoY'!W58:W61),"")</f>
        <v/>
      </c>
      <c r="X61" s="14">
        <f>iferror(average('Revenue Growth YoY'!X58:X61),"")</f>
        <v>0.2326804052</v>
      </c>
      <c r="Y61" s="14" t="str">
        <f>iferror(average('Revenue Growth YoY'!Y58:Y61),"")</f>
        <v/>
      </c>
      <c r="Z61" s="14" t="str">
        <f>iferror(average('Revenue Growth YoY'!Z58:Z61),"")</f>
        <v/>
      </c>
      <c r="AA61" s="14" t="str">
        <f>iferror(average('Revenue Growth YoY'!AA58:AA61),"")</f>
        <v/>
      </c>
      <c r="AB61" s="14" t="str">
        <f>iferror(average('Revenue Growth YoY'!AB58:AB61),"")</f>
        <v/>
      </c>
      <c r="AC61" s="14" t="str">
        <f>iferror(average('Revenue Growth YoY'!AC58:AC61),"")</f>
        <v/>
      </c>
      <c r="AD61" s="12"/>
    </row>
    <row r="62">
      <c r="A62" s="15" t="s">
        <v>89</v>
      </c>
      <c r="B62" s="14" t="str">
        <f>iferror(average('Revenue Growth YoY'!B59:B62),"")</f>
        <v/>
      </c>
      <c r="C62" s="14">
        <f>iferror(average('Revenue Growth YoY'!C59:C62),"")</f>
        <v>0.4119105775</v>
      </c>
      <c r="D62" s="14">
        <f>iferror(average('Revenue Growth YoY'!D59:D62),"")</f>
        <v>0.1369191187</v>
      </c>
      <c r="E62" s="14">
        <f>iferror(average('Revenue Growth YoY'!E59:E62),"")</f>
        <v>0.2751971662</v>
      </c>
      <c r="F62" s="14">
        <f>iferror(average('Revenue Growth YoY'!F59:F62),"")</f>
        <v>0.3145212376</v>
      </c>
      <c r="G62" s="14" t="str">
        <f>iferror(average('Revenue Growth YoY'!G59:G62),"")</f>
        <v/>
      </c>
      <c r="H62" s="14" t="str">
        <f>iferror(average('Revenue Growth YoY'!H59:H62),"")</f>
        <v/>
      </c>
      <c r="I62" s="14" t="str">
        <f>iferror(average('Revenue Growth YoY'!I59:I62),"")</f>
        <v/>
      </c>
      <c r="J62" s="14">
        <f>iferror(average('Revenue Growth YoY'!J59:J62),"")</f>
        <v>0.5553807808</v>
      </c>
      <c r="K62" s="14" t="str">
        <f>iferror(average('Revenue Growth YoY'!K59:K62),"")</f>
        <v/>
      </c>
      <c r="L62" s="14">
        <f>iferror(average('Revenue Growth YoY'!L59:L62),"")</f>
        <v>0.1015387398</v>
      </c>
      <c r="M62" s="14" t="str">
        <f>iferror(average('Revenue Growth YoY'!M59:M62),"")</f>
        <v/>
      </c>
      <c r="N62" s="14" t="str">
        <f>iferror(average('Revenue Growth YoY'!N59:N62),"")</f>
        <v/>
      </c>
      <c r="O62" s="14">
        <f>iferror(average('Revenue Growth YoY'!O59:O62),"")</f>
        <v>0.3670704489</v>
      </c>
      <c r="P62" s="14" t="str">
        <f>iferror(average('Revenue Growth YoY'!P59:P62),"")</f>
        <v/>
      </c>
      <c r="Q62" s="14" t="str">
        <f>iferror(average('Revenue Growth YoY'!Q59:Q62),"")</f>
        <v/>
      </c>
      <c r="R62" s="14"/>
      <c r="S62" s="14" t="str">
        <f>iferror(average('Revenue Growth YoY'!S59:S62),"")</f>
        <v/>
      </c>
      <c r="T62" s="14" t="str">
        <f>iferror(average('Revenue Growth YoY'!T59:T62),"")</f>
        <v/>
      </c>
      <c r="U62" s="14" t="str">
        <f>iferror(average('Revenue Growth YoY'!U59:U62),"")</f>
        <v/>
      </c>
      <c r="V62" s="14">
        <f>iferror(average('Revenue Growth YoY'!V59:V62),"")</f>
        <v>0.01363983804</v>
      </c>
      <c r="W62" s="14" t="str">
        <f>iferror(average('Revenue Growth YoY'!W59:W62),"")</f>
        <v/>
      </c>
      <c r="X62" s="14">
        <f>iferror(average('Revenue Growth YoY'!X59:X62),"")</f>
        <v>0.1670072759</v>
      </c>
      <c r="Y62" s="14" t="str">
        <f>iferror(average('Revenue Growth YoY'!Y59:Y62),"")</f>
        <v/>
      </c>
      <c r="Z62" s="14" t="str">
        <f>iferror(average('Revenue Growth YoY'!Z59:Z62),"")</f>
        <v/>
      </c>
      <c r="AA62" s="14" t="str">
        <f>iferror(average('Revenue Growth YoY'!AA59:AA62),"")</f>
        <v/>
      </c>
      <c r="AB62" s="14" t="str">
        <f>iferror(average('Revenue Growth YoY'!AB59:AB62),"")</f>
        <v/>
      </c>
      <c r="AC62" s="14" t="str">
        <f>iferror(average('Revenue Growth YoY'!AC59:AC62),"")</f>
        <v/>
      </c>
      <c r="AD62" s="12"/>
    </row>
    <row r="63">
      <c r="A63" s="15" t="s">
        <v>90</v>
      </c>
      <c r="B63" s="14" t="str">
        <f>iferror(average('Revenue Growth YoY'!B60:B63),"")</f>
        <v/>
      </c>
      <c r="C63" s="14">
        <f>iferror(average('Revenue Growth YoY'!C60:C63),"")</f>
        <v>0.3608972963</v>
      </c>
      <c r="D63" s="14">
        <f>iferror(average('Revenue Growth YoY'!D60:D63),"")</f>
        <v>0.1448273851</v>
      </c>
      <c r="E63" s="14">
        <f>iferror(average('Revenue Growth YoY'!E60:E63),"")</f>
        <v>0.2534893984</v>
      </c>
      <c r="F63" s="14">
        <f>iferror(average('Revenue Growth YoY'!F60:F63),"")</f>
        <v>0.2853118646</v>
      </c>
      <c r="G63" s="14" t="str">
        <f>iferror(average('Revenue Growth YoY'!G60:G63),"")</f>
        <v/>
      </c>
      <c r="H63" s="14" t="str">
        <f>iferror(average('Revenue Growth YoY'!H60:H63),"")</f>
        <v/>
      </c>
      <c r="I63" s="14" t="str">
        <f>iferror(average('Revenue Growth YoY'!I60:I63),"")</f>
        <v/>
      </c>
      <c r="J63" s="14">
        <f>iferror(average('Revenue Growth YoY'!J60:J63),"")</f>
        <v>0.5763103246</v>
      </c>
      <c r="K63" s="14" t="str">
        <f>iferror(average('Revenue Growth YoY'!K60:K63),"")</f>
        <v/>
      </c>
      <c r="L63" s="14">
        <f>iferror(average('Revenue Growth YoY'!L60:L63),"")</f>
        <v>0.1123749314</v>
      </c>
      <c r="M63" s="14" t="str">
        <f>iferror(average('Revenue Growth YoY'!M60:M63),"")</f>
        <v/>
      </c>
      <c r="N63" s="14" t="str">
        <f>iferror(average('Revenue Growth YoY'!N60:N63),"")</f>
        <v/>
      </c>
      <c r="O63" s="14">
        <f>iferror(average('Revenue Growth YoY'!O60:O63),"")</f>
        <v>0.3118763269</v>
      </c>
      <c r="P63" s="14" t="str">
        <f>iferror(average('Revenue Growth YoY'!P60:P63),"")</f>
        <v/>
      </c>
      <c r="Q63" s="14" t="str">
        <f>iferror(average('Revenue Growth YoY'!Q60:Q63),"")</f>
        <v/>
      </c>
      <c r="R63" s="14"/>
      <c r="S63" s="14" t="str">
        <f>iferror(average('Revenue Growth YoY'!S60:S63),"")</f>
        <v/>
      </c>
      <c r="T63" s="14" t="str">
        <f>iferror(average('Revenue Growth YoY'!T60:T63),"")</f>
        <v/>
      </c>
      <c r="U63" s="14" t="str">
        <f>iferror(average('Revenue Growth YoY'!U60:U63),"")</f>
        <v/>
      </c>
      <c r="V63" s="14">
        <f>iferror(average('Revenue Growth YoY'!V60:V63),"")</f>
        <v>0.01380396305</v>
      </c>
      <c r="W63" s="14" t="str">
        <f>iferror(average('Revenue Growth YoY'!W60:W63),"")</f>
        <v/>
      </c>
      <c r="X63" s="14">
        <f>iferror(average('Revenue Growth YoY'!X60:X63),"")</f>
        <v>0.1013341467</v>
      </c>
      <c r="Y63" s="14" t="str">
        <f>iferror(average('Revenue Growth YoY'!Y60:Y63),"")</f>
        <v/>
      </c>
      <c r="Z63" s="14" t="str">
        <f>iferror(average('Revenue Growth YoY'!Z60:Z63),"")</f>
        <v/>
      </c>
      <c r="AA63" s="14" t="str">
        <f>iferror(average('Revenue Growth YoY'!AA60:AA63),"")</f>
        <v/>
      </c>
      <c r="AB63" s="14" t="str">
        <f>iferror(average('Revenue Growth YoY'!AB60:AB63),"")</f>
        <v/>
      </c>
      <c r="AC63" s="14" t="str">
        <f>iferror(average('Revenue Growth YoY'!AC60:AC63),"")</f>
        <v/>
      </c>
      <c r="AD63" s="12"/>
    </row>
    <row r="64">
      <c r="A64" s="15" t="s">
        <v>91</v>
      </c>
      <c r="B64" s="14" t="str">
        <f>iferror(average('Revenue Growth YoY'!B61:B64),"")</f>
        <v/>
      </c>
      <c r="C64" s="14">
        <f>iferror(average('Revenue Growth YoY'!C61:C64),"")</f>
        <v>0.3098840151</v>
      </c>
      <c r="D64" s="14">
        <f>iferror(average('Revenue Growth YoY'!D61:D64),"")</f>
        <v>0.1527356514</v>
      </c>
      <c r="E64" s="14">
        <f>iferror(average('Revenue Growth YoY'!E61:E64),"")</f>
        <v>0.2317816307</v>
      </c>
      <c r="F64" s="14">
        <f>iferror(average('Revenue Growth YoY'!F61:F64),"")</f>
        <v>0.2561024916</v>
      </c>
      <c r="G64" s="14" t="str">
        <f>iferror(average('Revenue Growth YoY'!G61:G64),"")</f>
        <v/>
      </c>
      <c r="H64" s="14"/>
      <c r="I64" s="14" t="str">
        <f>iferror(average('Revenue Growth YoY'!I61:I64),"")</f>
        <v/>
      </c>
      <c r="J64" s="14">
        <f>iferror(average('Revenue Growth YoY'!J61:J64),"")</f>
        <v>0.4732082825</v>
      </c>
      <c r="K64" s="14" t="str">
        <f>iferror(average('Revenue Growth YoY'!K61:K64),"")</f>
        <v/>
      </c>
      <c r="L64" s="14">
        <f>iferror(average('Revenue Growth YoY'!L61:L64),"")</f>
        <v>0.123211123</v>
      </c>
      <c r="M64" s="14" t="str">
        <f>iferror(average('Revenue Growth YoY'!M61:M64),"")</f>
        <v/>
      </c>
      <c r="N64" s="14" t="str">
        <f>iferror(average('Revenue Growth YoY'!N61:N64),"")</f>
        <v/>
      </c>
      <c r="O64" s="14">
        <f>iferror(average('Revenue Growth YoY'!O61:O64),"")</f>
        <v>0.256682205</v>
      </c>
      <c r="P64" s="14" t="str">
        <f>iferror(average('Revenue Growth YoY'!P61:P64),"")</f>
        <v/>
      </c>
      <c r="Q64" s="14" t="str">
        <f>iferror(average('Revenue Growth YoY'!Q61:Q64),"")</f>
        <v/>
      </c>
      <c r="R64" s="14"/>
      <c r="S64" s="14" t="str">
        <f>iferror(average('Revenue Growth YoY'!S61:S64),"")</f>
        <v/>
      </c>
      <c r="T64" s="14" t="str">
        <f>iferror(average('Revenue Growth YoY'!T61:T64),"")</f>
        <v/>
      </c>
      <c r="U64" s="14" t="str">
        <f>iferror(average('Revenue Growth YoY'!U61:U64),"")</f>
        <v/>
      </c>
      <c r="V64" s="14">
        <f>iferror(average('Revenue Growth YoY'!V61:V64),"")</f>
        <v>0.01396808806</v>
      </c>
      <c r="W64" s="14" t="str">
        <f>iferror(average('Revenue Growth YoY'!W61:W64),"")</f>
        <v/>
      </c>
      <c r="X64" s="14">
        <f>iferror(average('Revenue Growth YoY'!X61:X64),"")</f>
        <v>0.03566101744</v>
      </c>
      <c r="Y64" s="14" t="str">
        <f>iferror(average('Revenue Growth YoY'!Y61:Y64),"")</f>
        <v/>
      </c>
      <c r="Z64" s="14" t="str">
        <f>iferror(average('Revenue Growth YoY'!Z61:Z64),"")</f>
        <v/>
      </c>
      <c r="AA64" s="14" t="str">
        <f>iferror(average('Revenue Growth YoY'!AA61:AA64),"")</f>
        <v/>
      </c>
      <c r="AB64" s="14" t="str">
        <f>iferror(average('Revenue Growth YoY'!AB61:AB64),"")</f>
        <v/>
      </c>
      <c r="AC64" s="14" t="str">
        <f>iferror(average('Revenue Growth YoY'!AC61:AC64),"")</f>
        <v/>
      </c>
      <c r="AD64" s="12"/>
    </row>
    <row r="65">
      <c r="A65" s="15" t="s">
        <v>92</v>
      </c>
      <c r="B65" s="14" t="str">
        <f>iferror(average('Revenue Growth YoY'!B62:B65),"")</f>
        <v/>
      </c>
      <c r="C65" s="14">
        <f>iferror(average('Revenue Growth YoY'!C62:C65),"")</f>
        <v>0.258870734</v>
      </c>
      <c r="D65" s="14">
        <f>iferror(average('Revenue Growth YoY'!D62:D65),"")</f>
        <v>0.1606439178</v>
      </c>
      <c r="E65" s="14">
        <f>iferror(average('Revenue Growth YoY'!E62:E65),"")</f>
        <v>0.2100738629</v>
      </c>
      <c r="F65" s="14">
        <f>iferror(average('Revenue Growth YoY'!F62:F65),"")</f>
        <v>0.2268931186</v>
      </c>
      <c r="G65" s="14" t="str">
        <f>iferror(average('Revenue Growth YoY'!G62:G65),"")</f>
        <v/>
      </c>
      <c r="H65" s="14"/>
      <c r="I65" s="14" t="str">
        <f>iferror(average('Revenue Growth YoY'!I62:I65),"")</f>
        <v/>
      </c>
      <c r="J65" s="14">
        <f>iferror(average('Revenue Growth YoY'!J62:J65),"")</f>
        <v>0.3701062404</v>
      </c>
      <c r="K65" s="14" t="str">
        <f>iferror(average('Revenue Growth YoY'!K62:K65),"")</f>
        <v/>
      </c>
      <c r="L65" s="14">
        <f>iferror(average('Revenue Growth YoY'!L62:L65),"")</f>
        <v>0.1340473145</v>
      </c>
      <c r="M65" s="14" t="str">
        <f>iferror(average('Revenue Growth YoY'!M62:M65),"")</f>
        <v/>
      </c>
      <c r="N65" s="14" t="str">
        <f>iferror(average('Revenue Growth YoY'!N62:N65),"")</f>
        <v/>
      </c>
      <c r="O65" s="14">
        <f>iferror(average('Revenue Growth YoY'!O62:O65),"")</f>
        <v>0.2365094418</v>
      </c>
      <c r="P65" s="14" t="str">
        <f>iferror(average('Revenue Growth YoY'!P62:P65),"")</f>
        <v/>
      </c>
      <c r="Q65" s="14" t="str">
        <f>iferror(average('Revenue Growth YoY'!Q62:Q65),"")</f>
        <v/>
      </c>
      <c r="R65" s="14"/>
      <c r="S65" s="14" t="str">
        <f>iferror(average('Revenue Growth YoY'!S62:S65),"")</f>
        <v/>
      </c>
      <c r="T65" s="14" t="str">
        <f>iferror(average('Revenue Growth YoY'!T62:T65),"")</f>
        <v/>
      </c>
      <c r="U65" s="14" t="str">
        <f>iferror(average('Revenue Growth YoY'!U62:U65),"")</f>
        <v/>
      </c>
      <c r="V65" s="14">
        <f>iferror(average('Revenue Growth YoY'!V62:V65),"")</f>
        <v>0.01413221306</v>
      </c>
      <c r="W65" s="14" t="str">
        <f>iferror(average('Revenue Growth YoY'!W62:W65),"")</f>
        <v/>
      </c>
      <c r="X65" s="14">
        <f>iferror(average('Revenue Growth YoY'!X62:X65),"")</f>
        <v>-0.0002801374404</v>
      </c>
      <c r="Y65" s="14" t="str">
        <f>iferror(average('Revenue Growth YoY'!Y62:Y65),"")</f>
        <v/>
      </c>
      <c r="Z65" s="14" t="str">
        <f>iferror(average('Revenue Growth YoY'!Z62:Z65),"")</f>
        <v/>
      </c>
      <c r="AA65" s="14" t="str">
        <f>iferror(average('Revenue Growth YoY'!AA62:AA65),"")</f>
        <v/>
      </c>
      <c r="AB65" s="14" t="str">
        <f>iferror(average('Revenue Growth YoY'!AB62:AB65),"")</f>
        <v/>
      </c>
      <c r="AC65" s="14" t="str">
        <f>iferror(average('Revenue Growth YoY'!AC62:AC65),"")</f>
        <v/>
      </c>
      <c r="AD65" s="12"/>
    </row>
    <row r="66">
      <c r="A66" s="15" t="s">
        <v>93</v>
      </c>
      <c r="B66" s="14" t="str">
        <f>iferror(average('Revenue Growth YoY'!B63:B66),"")</f>
        <v/>
      </c>
      <c r="C66" s="14">
        <f>iferror(average('Revenue Growth YoY'!C63:C66),"")</f>
        <v>0.2078574528</v>
      </c>
      <c r="D66" s="14">
        <f>iferror(average('Revenue Growth YoY'!D63:D66),"")</f>
        <v>0.1685521841</v>
      </c>
      <c r="E66" s="14">
        <f>iferror(average('Revenue Growth YoY'!E63:E66),"")</f>
        <v>0.1883660951</v>
      </c>
      <c r="F66" s="14">
        <f>iferror(average('Revenue Growth YoY'!F63:F66),"")</f>
        <v>0.1976837456</v>
      </c>
      <c r="G66" s="14" t="str">
        <f>iferror(average('Revenue Growth YoY'!G63:G66),"")</f>
        <v/>
      </c>
      <c r="H66" s="14"/>
      <c r="I66" s="14" t="str">
        <f>iferror(average('Revenue Growth YoY'!I63:I66),"")</f>
        <v/>
      </c>
      <c r="J66" s="14">
        <f>iferror(average('Revenue Growth YoY'!J63:J66),"")</f>
        <v>0.2670041983</v>
      </c>
      <c r="K66" s="14" t="str">
        <f>iferror(average('Revenue Growth YoY'!K63:K66),"")</f>
        <v/>
      </c>
      <c r="L66" s="14">
        <f>iferror(average('Revenue Growth YoY'!L63:L66),"")</f>
        <v>0.1448835061</v>
      </c>
      <c r="M66" s="14" t="str">
        <f>iferror(average('Revenue Growth YoY'!M63:M66),"")</f>
        <v/>
      </c>
      <c r="N66" s="14" t="str">
        <f>iferror(average('Revenue Growth YoY'!N63:N66),"")</f>
        <v/>
      </c>
      <c r="O66" s="14">
        <f>iferror(average('Revenue Growth YoY'!O63:O66),"")</f>
        <v>0.2163366785</v>
      </c>
      <c r="P66" s="14" t="str">
        <f>iferror(average('Revenue Growth YoY'!P63:P66),"")</f>
        <v/>
      </c>
      <c r="Q66" s="14" t="str">
        <f>iferror(average('Revenue Growth YoY'!Q63:Q66),"")</f>
        <v/>
      </c>
      <c r="R66" s="14"/>
      <c r="S66" s="14" t="str">
        <f>iferror(average('Revenue Growth YoY'!S63:S66),"")</f>
        <v/>
      </c>
      <c r="T66" s="14" t="str">
        <f>iferror(average('Revenue Growth YoY'!T63:T66),"")</f>
        <v/>
      </c>
      <c r="U66" s="14" t="str">
        <f>iferror(average('Revenue Growth YoY'!U63:U66),"")</f>
        <v/>
      </c>
      <c r="V66" s="14">
        <f>iferror(average('Revenue Growth YoY'!V63:V66),"")</f>
        <v>0.01429633807</v>
      </c>
      <c r="W66" s="14" t="str">
        <f>iferror(average('Revenue Growth YoY'!W63:W66),"")</f>
        <v/>
      </c>
      <c r="X66" s="14">
        <f>iferror(average('Revenue Growth YoY'!X63:X66),"")</f>
        <v>-0.03622129232</v>
      </c>
      <c r="Y66" s="14" t="str">
        <f>iferror(average('Revenue Growth YoY'!Y63:Y66),"")</f>
        <v/>
      </c>
      <c r="Z66" s="14" t="str">
        <f>iferror(average('Revenue Growth YoY'!Z63:Z66),"")</f>
        <v/>
      </c>
      <c r="AA66" s="14" t="str">
        <f>iferror(average('Revenue Growth YoY'!AA63:AA66),"")</f>
        <v/>
      </c>
      <c r="AB66" s="14" t="str">
        <f>iferror(average('Revenue Growth YoY'!AB63:AB66),"")</f>
        <v/>
      </c>
      <c r="AC66" s="14" t="str">
        <f>iferror(average('Revenue Growth YoY'!AC63:AC66),"")</f>
        <v/>
      </c>
      <c r="AD66" s="12"/>
    </row>
    <row r="67">
      <c r="A67" s="15" t="s">
        <v>94</v>
      </c>
      <c r="B67" s="14" t="str">
        <f>iferror(average('Revenue Growth YoY'!B64:B67),"")</f>
        <v/>
      </c>
      <c r="C67" s="14">
        <f>iferror(average('Revenue Growth YoY'!C64:C67),"")</f>
        <v>0.2287101784</v>
      </c>
      <c r="D67" s="14">
        <f>iferror(average('Revenue Growth YoY'!D64:D67),"")</f>
        <v>0.1723724638</v>
      </c>
      <c r="E67" s="14">
        <f>iferror(average('Revenue Growth YoY'!E64:E67),"")</f>
        <v>0.2246861138</v>
      </c>
      <c r="F67" s="14">
        <f>iferror(average('Revenue Growth YoY'!F64:F67),"")</f>
        <v>0.2078958367</v>
      </c>
      <c r="G67" s="14" t="str">
        <f>iferror(average('Revenue Growth YoY'!G64:G67),"")</f>
        <v/>
      </c>
      <c r="H67" s="14">
        <f>iferror(average('Revenue Growth YoY'!H64:H67),"")</f>
        <v>0.08552301285</v>
      </c>
      <c r="I67" s="14" t="str">
        <f>iferror(average('Revenue Growth YoY'!I64:I67),"")</f>
        <v/>
      </c>
      <c r="J67" s="14">
        <f>iferror(average('Revenue Growth YoY'!J64:J67),"")</f>
        <v>0.1639021562</v>
      </c>
      <c r="K67" s="14" t="str">
        <f>iferror(average('Revenue Growth YoY'!K64:K67),"")</f>
        <v/>
      </c>
      <c r="L67" s="14">
        <f>iferror(average('Revenue Growth YoY'!L64:L67),"")</f>
        <v>0.1450646521</v>
      </c>
      <c r="M67" s="14" t="str">
        <f>iferror(average('Revenue Growth YoY'!M64:M67),"")</f>
        <v/>
      </c>
      <c r="N67" s="14" t="str">
        <f>iferror(average('Revenue Growth YoY'!N64:N67),"")</f>
        <v/>
      </c>
      <c r="O67" s="14">
        <f>iferror(average('Revenue Growth YoY'!O64:O67),"")</f>
        <v>0.1961639152</v>
      </c>
      <c r="P67" s="14" t="str">
        <f>iferror(average('Revenue Growth YoY'!P64:P67),"")</f>
        <v/>
      </c>
      <c r="Q67" s="14" t="str">
        <f>iferror(average('Revenue Growth YoY'!Q64:Q67),"")</f>
        <v/>
      </c>
      <c r="R67" s="14"/>
      <c r="S67" s="14"/>
      <c r="T67" s="14" t="str">
        <f>iferror(average('Revenue Growth YoY'!T64:T67),"")</f>
        <v/>
      </c>
      <c r="U67" s="14" t="str">
        <f>iferror(average('Revenue Growth YoY'!U64:U67),"")</f>
        <v/>
      </c>
      <c r="V67" s="14">
        <f>iferror(average('Revenue Growth YoY'!V64:V67),"")</f>
        <v>0.03261726842</v>
      </c>
      <c r="W67" s="14" t="str">
        <f>iferror(average('Revenue Growth YoY'!W64:W67),"")</f>
        <v/>
      </c>
      <c r="X67" s="14">
        <f>iferror(average('Revenue Growth YoY'!X64:X67),"")</f>
        <v>-0.07216244719</v>
      </c>
      <c r="Y67" s="14" t="str">
        <f>iferror(average('Revenue Growth YoY'!Y64:Y67),"")</f>
        <v/>
      </c>
      <c r="Z67" s="14" t="str">
        <f>iferror(average('Revenue Growth YoY'!Z64:Z67),"")</f>
        <v/>
      </c>
      <c r="AA67" s="14" t="str">
        <f>iferror(average('Revenue Growth YoY'!AA64:AA67),"")</f>
        <v/>
      </c>
      <c r="AB67" s="14" t="str">
        <f>iferror(average('Revenue Growth YoY'!AB64:AB67),"")</f>
        <v/>
      </c>
      <c r="AC67" s="14" t="str">
        <f>iferror(average('Revenue Growth YoY'!AC64:AC67),"")</f>
        <v/>
      </c>
      <c r="AD67" s="12"/>
    </row>
    <row r="68">
      <c r="A68" s="15" t="s">
        <v>95</v>
      </c>
      <c r="B68" s="14" t="str">
        <f>iferror(average('Revenue Growth YoY'!B65:B68),"")</f>
        <v/>
      </c>
      <c r="C68" s="14">
        <f>iferror(average('Revenue Growth YoY'!C65:C68),"")</f>
        <v>0.2495629039</v>
      </c>
      <c r="D68" s="14">
        <f>iferror(average('Revenue Growth YoY'!D65:D68),"")</f>
        <v>0.1761927434</v>
      </c>
      <c r="E68" s="14">
        <f>iferror(average('Revenue Growth YoY'!E65:E68),"")</f>
        <v>0.2610061325</v>
      </c>
      <c r="F68" s="14">
        <f>iferror(average('Revenue Growth YoY'!F65:F68),"")</f>
        <v>0.2181079278</v>
      </c>
      <c r="G68" s="14" t="str">
        <f>iferror(average('Revenue Growth YoY'!G65:G68),"")</f>
        <v/>
      </c>
      <c r="H68" s="14">
        <f>iferror(average('Revenue Growth YoY'!H65:H68),"")</f>
        <v>0.08298845294</v>
      </c>
      <c r="I68" s="14" t="str">
        <f>iferror(average('Revenue Growth YoY'!I65:I68),"")</f>
        <v/>
      </c>
      <c r="J68" s="14">
        <f>iferror(average('Revenue Growth YoY'!J65:J68),"")</f>
        <v>0.1532132591</v>
      </c>
      <c r="K68" s="14" t="str">
        <f>iferror(average('Revenue Growth YoY'!K65:K68),"")</f>
        <v/>
      </c>
      <c r="L68" s="14">
        <f>iferror(average('Revenue Growth YoY'!L65:L68),"")</f>
        <v>0.145245798</v>
      </c>
      <c r="M68" s="14" t="str">
        <f>iferror(average('Revenue Growth YoY'!M65:M68),"")</f>
        <v/>
      </c>
      <c r="N68" s="14" t="str">
        <f>iferror(average('Revenue Growth YoY'!N65:N68),"")</f>
        <v/>
      </c>
      <c r="O68" s="14">
        <f>iferror(average('Revenue Growth YoY'!O65:O68),"")</f>
        <v>0.1759911519</v>
      </c>
      <c r="P68" s="14" t="str">
        <f>iferror(average('Revenue Growth YoY'!P65:P68),"")</f>
        <v/>
      </c>
      <c r="Q68" s="14" t="str">
        <f>iferror(average('Revenue Growth YoY'!Q65:Q68),"")</f>
        <v/>
      </c>
      <c r="R68" s="14"/>
      <c r="S68" s="14"/>
      <c r="T68" s="14" t="str">
        <f>iferror(average('Revenue Growth YoY'!T65:T68),"")</f>
        <v/>
      </c>
      <c r="U68" s="14" t="str">
        <f>iferror(average('Revenue Growth YoY'!U65:U68),"")</f>
        <v/>
      </c>
      <c r="V68" s="14">
        <f>iferror(average('Revenue Growth YoY'!V65:V68),"")</f>
        <v>0.05093819877</v>
      </c>
      <c r="W68" s="14" t="str">
        <f>iferror(average('Revenue Growth YoY'!W65:W68),"")</f>
        <v/>
      </c>
      <c r="X68" s="14">
        <f>iferror(average('Revenue Growth YoY'!X65:X68),"")</f>
        <v>-0.1081036021</v>
      </c>
      <c r="Y68" s="14" t="str">
        <f>iferror(average('Revenue Growth YoY'!Y65:Y68),"")</f>
        <v/>
      </c>
      <c r="Z68" s="14" t="str">
        <f>iferror(average('Revenue Growth YoY'!Z65:Z68),"")</f>
        <v/>
      </c>
      <c r="AA68" s="14" t="str">
        <f>iferror(average('Revenue Growth YoY'!AA65:AA68),"")</f>
        <v/>
      </c>
      <c r="AB68" s="14" t="str">
        <f>iferror(average('Revenue Growth YoY'!AB65:AB68),"")</f>
        <v/>
      </c>
      <c r="AC68" s="14" t="str">
        <f>iferror(average('Revenue Growth YoY'!AC65:AC68),"")</f>
        <v/>
      </c>
      <c r="AD68" s="12"/>
    </row>
    <row r="69">
      <c r="A69" s="15" t="s">
        <v>96</v>
      </c>
      <c r="B69" s="14" t="str">
        <f>iferror(average('Revenue Growth YoY'!B66:B69),"")</f>
        <v/>
      </c>
      <c r="C69" s="14">
        <f>iferror(average('Revenue Growth YoY'!C66:C69),"")</f>
        <v>0.2704156295</v>
      </c>
      <c r="D69" s="14">
        <f>iferror(average('Revenue Growth YoY'!D66:D69),"")</f>
        <v>0.180013023</v>
      </c>
      <c r="E69" s="14">
        <f>iferror(average('Revenue Growth YoY'!E66:E69),"")</f>
        <v>0.2973261513</v>
      </c>
      <c r="F69" s="14">
        <f>iferror(average('Revenue Growth YoY'!F66:F69),"")</f>
        <v>0.228320019</v>
      </c>
      <c r="G69" s="14" t="str">
        <f>iferror(average('Revenue Growth YoY'!G66:G69),"")</f>
        <v/>
      </c>
      <c r="H69" s="14">
        <f>iferror(average('Revenue Growth YoY'!H66:H69),"")</f>
        <v>0.08045389304</v>
      </c>
      <c r="I69" s="14" t="str">
        <f>iferror(average('Revenue Growth YoY'!I66:I69),"")</f>
        <v/>
      </c>
      <c r="J69" s="14">
        <f>iferror(average('Revenue Growth YoY'!J66:J69),"")</f>
        <v>0.1425243621</v>
      </c>
      <c r="K69" s="14" t="str">
        <f>iferror(average('Revenue Growth YoY'!K66:K69),"")</f>
        <v/>
      </c>
      <c r="L69" s="14">
        <f>iferror(average('Revenue Growth YoY'!L66:L69),"")</f>
        <v>0.145426944</v>
      </c>
      <c r="M69" s="14" t="str">
        <f>iferror(average('Revenue Growth YoY'!M66:M69),"")</f>
        <v/>
      </c>
      <c r="N69" s="14" t="str">
        <f>iferror(average('Revenue Growth YoY'!N66:N69),"")</f>
        <v/>
      </c>
      <c r="O69" s="14">
        <f>iferror(average('Revenue Growth YoY'!O66:O69),"")</f>
        <v>0.2181204312</v>
      </c>
      <c r="P69" s="14" t="str">
        <f>iferror(average('Revenue Growth YoY'!P66:P69),"")</f>
        <v/>
      </c>
      <c r="Q69" s="14" t="str">
        <f>iferror(average('Revenue Growth YoY'!Q66:Q69),"")</f>
        <v/>
      </c>
      <c r="R69" s="14"/>
      <c r="S69" s="14"/>
      <c r="T69" s="14" t="str">
        <f>iferror(average('Revenue Growth YoY'!T66:T69),"")</f>
        <v/>
      </c>
      <c r="U69" s="14" t="str">
        <f>iferror(average('Revenue Growth YoY'!U66:U69),"")</f>
        <v/>
      </c>
      <c r="V69" s="14">
        <f>iferror(average('Revenue Growth YoY'!V66:V69),"")</f>
        <v>0.06925912912</v>
      </c>
      <c r="W69" s="14" t="str">
        <f>iferror(average('Revenue Growth YoY'!W66:W69),"")</f>
        <v/>
      </c>
      <c r="X69" s="14">
        <f>iferror(average('Revenue Growth YoY'!X66:X69),"")</f>
        <v>-0.04264748189</v>
      </c>
      <c r="Y69" s="14" t="str">
        <f>iferror(average('Revenue Growth YoY'!Y66:Y69),"")</f>
        <v/>
      </c>
      <c r="Z69" s="14" t="str">
        <f>iferror(average('Revenue Growth YoY'!Z66:Z69),"")</f>
        <v/>
      </c>
      <c r="AA69" s="14" t="str">
        <f>iferror(average('Revenue Growth YoY'!AA66:AA69),"")</f>
        <v/>
      </c>
      <c r="AB69" s="14" t="str">
        <f>iferror(average('Revenue Growth YoY'!AB66:AB69),"")</f>
        <v/>
      </c>
      <c r="AC69" s="14" t="str">
        <f>iferror(average('Revenue Growth YoY'!AC66:AC69),"")</f>
        <v/>
      </c>
      <c r="AD69" s="12"/>
    </row>
    <row r="70">
      <c r="A70" s="15" t="s">
        <v>97</v>
      </c>
      <c r="B70" s="14" t="str">
        <f>iferror(average('Revenue Growth YoY'!B67:B70),"")</f>
        <v/>
      </c>
      <c r="C70" s="14">
        <f>iferror(average('Revenue Growth YoY'!C67:C70),"")</f>
        <v>0.291268355</v>
      </c>
      <c r="D70" s="14">
        <f>iferror(average('Revenue Growth YoY'!D67:D70),"")</f>
        <v>0.1838333027</v>
      </c>
      <c r="E70" s="14">
        <f>iferror(average('Revenue Growth YoY'!E67:E70),"")</f>
        <v>0.33364617</v>
      </c>
      <c r="F70" s="14">
        <f>iferror(average('Revenue Growth YoY'!F67:F70),"")</f>
        <v>0.2385321101</v>
      </c>
      <c r="G70" s="14" t="str">
        <f>iferror(average('Revenue Growth YoY'!G67:G70),"")</f>
        <v/>
      </c>
      <c r="H70" s="14">
        <f>iferror(average('Revenue Growth YoY'!H67:H70),"")</f>
        <v>0.07791933313</v>
      </c>
      <c r="I70" s="14" t="str">
        <f>iferror(average('Revenue Growth YoY'!I67:I70),"")</f>
        <v/>
      </c>
      <c r="J70" s="14">
        <f>iferror(average('Revenue Growth YoY'!J67:J70),"")</f>
        <v>0.1318354651</v>
      </c>
      <c r="K70" s="14" t="str">
        <f>iferror(average('Revenue Growth YoY'!K67:K70),"")</f>
        <v/>
      </c>
      <c r="L70" s="14">
        <f>iferror(average('Revenue Growth YoY'!L67:L70),"")</f>
        <v>0.1456080899</v>
      </c>
      <c r="M70" s="14" t="str">
        <f>iferror(average('Revenue Growth YoY'!M67:M70),"")</f>
        <v/>
      </c>
      <c r="N70" s="14" t="str">
        <f>iferror(average('Revenue Growth YoY'!N67:N70),"")</f>
        <v/>
      </c>
      <c r="O70" s="14">
        <f>iferror(average('Revenue Growth YoY'!O67:O70),"")</f>
        <v>0.2602497105</v>
      </c>
      <c r="P70" s="14" t="str">
        <f>iferror(average('Revenue Growth YoY'!P67:P70),"")</f>
        <v/>
      </c>
      <c r="Q70" s="14" t="str">
        <f>iferror(average('Revenue Growth YoY'!Q67:Q70),"")</f>
        <v/>
      </c>
      <c r="R70" s="14"/>
      <c r="S70" s="14"/>
      <c r="T70" s="14" t="str">
        <f>iferror(average('Revenue Growth YoY'!T67:T70),"")</f>
        <v/>
      </c>
      <c r="U70" s="14" t="str">
        <f>iferror(average('Revenue Growth YoY'!U67:U70),"")</f>
        <v/>
      </c>
      <c r="V70" s="14">
        <f>iferror(average('Revenue Growth YoY'!V67:V70),"")</f>
        <v>0.08758005948</v>
      </c>
      <c r="W70" s="14" t="str">
        <f>iferror(average('Revenue Growth YoY'!W67:W70),"")</f>
        <v/>
      </c>
      <c r="X70" s="14">
        <f>iferror(average('Revenue Growth YoY'!X67:X70),"")</f>
        <v>0.02280863828</v>
      </c>
      <c r="Y70" s="14" t="str">
        <f>iferror(average('Revenue Growth YoY'!Y67:Y70),"")</f>
        <v/>
      </c>
      <c r="Z70" s="14" t="str">
        <f>iferror(average('Revenue Growth YoY'!Z67:Z70),"")</f>
        <v/>
      </c>
      <c r="AA70" s="14" t="str">
        <f>iferror(average('Revenue Growth YoY'!AA67:AA70),"")</f>
        <v/>
      </c>
      <c r="AB70" s="14" t="str">
        <f>iferror(average('Revenue Growth YoY'!AB67:AB70),"")</f>
        <v/>
      </c>
      <c r="AC70" s="14" t="str">
        <f>iferror(average('Revenue Growth YoY'!AC67:AC70),"")</f>
        <v/>
      </c>
      <c r="AD70" s="12"/>
    </row>
    <row r="71">
      <c r="A71" s="15" t="s">
        <v>98</v>
      </c>
      <c r="B71" s="14" t="str">
        <f>iferror(average('Revenue Growth YoY'!B68:B71),"")</f>
        <v/>
      </c>
      <c r="C71" s="14">
        <f>iferror(average('Revenue Growth YoY'!C68:C71),"")</f>
        <v>0.2791236767</v>
      </c>
      <c r="D71" s="14">
        <f>iferror(average('Revenue Growth YoY'!D68:D71),"")</f>
        <v>0.1898647139</v>
      </c>
      <c r="E71" s="14">
        <f>iferror(average('Revenue Growth YoY'!E68:E71),"")</f>
        <v>0.3302871534</v>
      </c>
      <c r="F71" s="14">
        <f>iferror(average('Revenue Growth YoY'!F68:F71),"")</f>
        <v>0.2585287122</v>
      </c>
      <c r="G71" s="14" t="str">
        <f>iferror(average('Revenue Growth YoY'!G68:G71),"")</f>
        <v/>
      </c>
      <c r="H71" s="14">
        <f>iferror(average('Revenue Growth YoY'!H68:H71),"")</f>
        <v>0.07538477322</v>
      </c>
      <c r="I71" s="14" t="str">
        <f>iferror(average('Revenue Growth YoY'!I68:I71),"")</f>
        <v/>
      </c>
      <c r="J71" s="14">
        <f>iferror(average('Revenue Growth YoY'!J68:J71),"")</f>
        <v>0.1211465681</v>
      </c>
      <c r="K71" s="14" t="str">
        <f>iferror(average('Revenue Growth YoY'!K68:K71),"")</f>
        <v/>
      </c>
      <c r="L71" s="14">
        <f>iferror(average('Revenue Growth YoY'!L68:L71),"")</f>
        <v>0.1644622991</v>
      </c>
      <c r="M71" s="14" t="str">
        <f>iferror(average('Revenue Growth YoY'!M68:M71),"")</f>
        <v/>
      </c>
      <c r="N71" s="14" t="str">
        <f>iferror(average('Revenue Growth YoY'!N68:N71),"")</f>
        <v/>
      </c>
      <c r="O71" s="14">
        <f>iferror(average('Revenue Growth YoY'!O68:O71),"")</f>
        <v>0.3023789898</v>
      </c>
      <c r="P71" s="14" t="str">
        <f>iferror(average('Revenue Growth YoY'!P68:P71),"")</f>
        <v/>
      </c>
      <c r="Q71" s="14" t="str">
        <f>iferror(average('Revenue Growth YoY'!Q68:Q71),"")</f>
        <v/>
      </c>
      <c r="R71" s="14"/>
      <c r="S71" s="14">
        <f>iferror(average('Revenue Growth YoY'!S68:S71),"")</f>
        <v>0.5498569775</v>
      </c>
      <c r="T71" s="14" t="str">
        <f>iferror(average('Revenue Growth YoY'!T68:T71),"")</f>
        <v/>
      </c>
      <c r="U71" s="14" t="str">
        <f>iferror(average('Revenue Growth YoY'!U68:U71),"")</f>
        <v/>
      </c>
      <c r="V71" s="14">
        <f>iferror(average('Revenue Growth YoY'!V68:V71),"")</f>
        <v>0.0907746842</v>
      </c>
      <c r="W71" s="14" t="str">
        <f>iferror(average('Revenue Growth YoY'!W68:W71),"")</f>
        <v/>
      </c>
      <c r="X71" s="14">
        <f>iferror(average('Revenue Growth YoY'!X68:X71),"")</f>
        <v>0.08826475846</v>
      </c>
      <c r="Y71" s="14">
        <f>iferror(average('Revenue Growth YoY'!Y68:Y71),"")</f>
        <v>0.2960921086</v>
      </c>
      <c r="Z71" s="14" t="str">
        <f>iferror(average('Revenue Growth YoY'!Z68:Z71),"")</f>
        <v/>
      </c>
      <c r="AA71" s="14" t="str">
        <f>iferror(average('Revenue Growth YoY'!AA68:AA71),"")</f>
        <v/>
      </c>
      <c r="AB71" s="14" t="str">
        <f>iferror(average('Revenue Growth YoY'!AB68:AB71),"")</f>
        <v/>
      </c>
      <c r="AC71" s="14" t="str">
        <f>iferror(average('Revenue Growth YoY'!AC68:AC71),"")</f>
        <v/>
      </c>
      <c r="AD71" s="12"/>
    </row>
    <row r="72">
      <c r="A72" s="15" t="s">
        <v>99</v>
      </c>
      <c r="B72" s="14" t="str">
        <f>iferror(average('Revenue Growth YoY'!B69:B72),"")</f>
        <v/>
      </c>
      <c r="C72" s="14">
        <f>iferror(average('Revenue Growth YoY'!C69:C72),"")</f>
        <v>0.2669789984</v>
      </c>
      <c r="D72" s="14">
        <f>iferror(average('Revenue Growth YoY'!D69:D72),"")</f>
        <v>0.1958961251</v>
      </c>
      <c r="E72" s="14">
        <f>iferror(average('Revenue Growth YoY'!E69:E72),"")</f>
        <v>0.3269281368</v>
      </c>
      <c r="F72" s="14">
        <f>iferror(average('Revenue Growth YoY'!F69:F72),"")</f>
        <v>0.2785253143</v>
      </c>
      <c r="G72" s="14" t="str">
        <f>iferror(average('Revenue Growth YoY'!G69:G72),"")</f>
        <v/>
      </c>
      <c r="H72" s="14">
        <f>iferror(average('Revenue Growth YoY'!H69:H72),"")</f>
        <v>-0.1347864518</v>
      </c>
      <c r="I72" s="14" t="str">
        <f>iferror(average('Revenue Growth YoY'!I69:I72),"")</f>
        <v/>
      </c>
      <c r="J72" s="14">
        <f>iferror(average('Revenue Growth YoY'!J69:J72),"")</f>
        <v>0.1337104423</v>
      </c>
      <c r="K72" s="14" t="str">
        <f>iferror(average('Revenue Growth YoY'!K69:K72),"")</f>
        <v/>
      </c>
      <c r="L72" s="14">
        <f>iferror(average('Revenue Growth YoY'!L69:L72),"")</f>
        <v>0.1833165083</v>
      </c>
      <c r="M72" s="14" t="str">
        <f>iferror(average('Revenue Growth YoY'!M69:M72),"")</f>
        <v/>
      </c>
      <c r="N72" s="14" t="str">
        <f>iferror(average('Revenue Growth YoY'!N69:N72),"")</f>
        <v/>
      </c>
      <c r="O72" s="14">
        <f>iferror(average('Revenue Growth YoY'!O69:O72),"")</f>
        <v>0.3445082691</v>
      </c>
      <c r="P72" s="14" t="str">
        <f>iferror(average('Revenue Growth YoY'!P69:P72),"")</f>
        <v/>
      </c>
      <c r="Q72" s="14" t="str">
        <f>iferror(average('Revenue Growth YoY'!Q69:Q72),"")</f>
        <v/>
      </c>
      <c r="R72" s="14"/>
      <c r="S72" s="14">
        <f>iferror(average('Revenue Growth YoY'!S69:S72),"")</f>
        <v>0.3833946615</v>
      </c>
      <c r="T72" s="14" t="str">
        <f>iferror(average('Revenue Growth YoY'!T69:T72),"")</f>
        <v/>
      </c>
      <c r="U72" s="14" t="str">
        <f>iferror(average('Revenue Growth YoY'!U69:U72),"")</f>
        <v/>
      </c>
      <c r="V72" s="14">
        <f>iferror(average('Revenue Growth YoY'!V69:V72),"")</f>
        <v>0.09396930891</v>
      </c>
      <c r="W72" s="14" t="str">
        <f>iferror(average('Revenue Growth YoY'!W69:W72),"")</f>
        <v/>
      </c>
      <c r="X72" s="14">
        <f>iferror(average('Revenue Growth YoY'!X69:X72),"")</f>
        <v>0.1537208786</v>
      </c>
      <c r="Y72" s="14">
        <f>iferror(average('Revenue Growth YoY'!Y69:Y72),"")</f>
        <v>0.2960921086</v>
      </c>
      <c r="Z72" s="14" t="str">
        <f>iferror(average('Revenue Growth YoY'!Z69:Z72),"")</f>
        <v/>
      </c>
      <c r="AA72" s="14" t="str">
        <f>iferror(average('Revenue Growth YoY'!AA69:AA72),"")</f>
        <v/>
      </c>
      <c r="AB72" s="14" t="str">
        <f>iferror(average('Revenue Growth YoY'!AB69:AB72),"")</f>
        <v/>
      </c>
      <c r="AC72" s="14" t="str">
        <f>iferror(average('Revenue Growth YoY'!AC69:AC72),"")</f>
        <v/>
      </c>
      <c r="AD72" s="12"/>
    </row>
    <row r="73">
      <c r="A73" s="15" t="s">
        <v>100</v>
      </c>
      <c r="B73" s="14" t="str">
        <f>iferror(average('Revenue Growth YoY'!B70:B73),"")</f>
        <v/>
      </c>
      <c r="C73" s="14">
        <f>iferror(average('Revenue Growth YoY'!C70:C73),"")</f>
        <v>0.2548343201</v>
      </c>
      <c r="D73" s="14">
        <f>iferror(average('Revenue Growth YoY'!D70:D73),"")</f>
        <v>0.2019275363</v>
      </c>
      <c r="E73" s="14">
        <f>iferror(average('Revenue Growth YoY'!E70:E73),"")</f>
        <v>0.3235691202</v>
      </c>
      <c r="F73" s="14">
        <f>iferror(average('Revenue Growth YoY'!F70:F73),"")</f>
        <v>0.2985219164</v>
      </c>
      <c r="G73" s="14" t="str">
        <f>iferror(average('Revenue Growth YoY'!G70:G73),"")</f>
        <v/>
      </c>
      <c r="H73" s="14">
        <f>iferror(average('Revenue Growth YoY'!H70:H73),"")</f>
        <v>-0.3449576768</v>
      </c>
      <c r="I73" s="14" t="str">
        <f>iferror(average('Revenue Growth YoY'!I70:I73),"")</f>
        <v/>
      </c>
      <c r="J73" s="14">
        <f>iferror(average('Revenue Growth YoY'!J70:J73),"")</f>
        <v>0.1462743166</v>
      </c>
      <c r="K73" s="14" t="str">
        <f>iferror(average('Revenue Growth YoY'!K70:K73),"")</f>
        <v/>
      </c>
      <c r="L73" s="14">
        <f>iferror(average('Revenue Growth YoY'!L70:L73),"")</f>
        <v>0.2021707175</v>
      </c>
      <c r="M73" s="14" t="str">
        <f>iferror(average('Revenue Growth YoY'!M70:M73),"")</f>
        <v/>
      </c>
      <c r="N73" s="14" t="str">
        <f>iferror(average('Revenue Growth YoY'!N70:N73),"")</f>
        <v/>
      </c>
      <c r="O73" s="14">
        <f>iferror(average('Revenue Growth YoY'!O70:O73),"")</f>
        <v>0.254558144</v>
      </c>
      <c r="P73" s="14" t="str">
        <f>iferror(average('Revenue Growth YoY'!P70:P73),"")</f>
        <v/>
      </c>
      <c r="Q73" s="14" t="str">
        <f>iferror(average('Revenue Growth YoY'!Q70:Q73),"")</f>
        <v/>
      </c>
      <c r="R73" s="14"/>
      <c r="S73" s="14">
        <f>iferror(average('Revenue Growth YoY'!S70:S73),"")</f>
        <v>0.2169323454</v>
      </c>
      <c r="T73" s="14" t="str">
        <f>iferror(average('Revenue Growth YoY'!T70:T73),"")</f>
        <v/>
      </c>
      <c r="U73" s="14" t="str">
        <f>iferror(average('Revenue Growth YoY'!U70:U73),"")</f>
        <v/>
      </c>
      <c r="V73" s="14">
        <f>iferror(average('Revenue Growth YoY'!V70:V73),"")</f>
        <v>0.09716393363</v>
      </c>
      <c r="W73" s="14" t="str">
        <f>iferror(average('Revenue Growth YoY'!W70:W73),"")</f>
        <v/>
      </c>
      <c r="X73" s="14">
        <f>iferror(average('Revenue Growth YoY'!X70:X73),"")</f>
        <v>0.08347753852</v>
      </c>
      <c r="Y73" s="14">
        <f>iferror(average('Revenue Growth YoY'!Y70:Y73),"")</f>
        <v>0.2960921086</v>
      </c>
      <c r="Z73" s="14" t="str">
        <f>iferror(average('Revenue Growth YoY'!Z70:Z73),"")</f>
        <v/>
      </c>
      <c r="AA73" s="14" t="str">
        <f>iferror(average('Revenue Growth YoY'!AA70:AA73),"")</f>
        <v/>
      </c>
      <c r="AB73" s="14" t="str">
        <f>iferror(average('Revenue Growth YoY'!AB70:AB73),"")</f>
        <v/>
      </c>
      <c r="AC73" s="14" t="str">
        <f>iferror(average('Revenue Growth YoY'!AC70:AC73),"")</f>
        <v/>
      </c>
      <c r="AD73" s="12"/>
    </row>
    <row r="74">
      <c r="A74" s="15" t="s">
        <v>101</v>
      </c>
      <c r="B74" s="14" t="str">
        <f>iferror(average('Revenue Growth YoY'!B71:B74),"")</f>
        <v/>
      </c>
      <c r="C74" s="14">
        <f>iferror(average('Revenue Growth YoY'!C71:C74),"")</f>
        <v>0.2426896418</v>
      </c>
      <c r="D74" s="14">
        <f>iferror(average('Revenue Growth YoY'!D71:D74),"")</f>
        <v>0.2079589475</v>
      </c>
      <c r="E74" s="14">
        <f>iferror(average('Revenue Growth YoY'!E71:E74),"")</f>
        <v>0.3202101036</v>
      </c>
      <c r="F74" s="14">
        <f>iferror(average('Revenue Growth YoY'!F71:F74),"")</f>
        <v>0.3185185185</v>
      </c>
      <c r="G74" s="14" t="str">
        <f>iferror(average('Revenue Growth YoY'!G71:G74),"")</f>
        <v/>
      </c>
      <c r="H74" s="14">
        <f>iferror(average('Revenue Growth YoY'!H71:H74),"")</f>
        <v>-0.5551289019</v>
      </c>
      <c r="I74" s="14" t="str">
        <f>iferror(average('Revenue Growth YoY'!I71:I74),"")</f>
        <v/>
      </c>
      <c r="J74" s="14">
        <f>iferror(average('Revenue Growth YoY'!J71:J74),"")</f>
        <v>0.1588381909</v>
      </c>
      <c r="K74" s="14" t="str">
        <f>iferror(average('Revenue Growth YoY'!K71:K74),"")</f>
        <v/>
      </c>
      <c r="L74" s="14">
        <f>iferror(average('Revenue Growth YoY'!L71:L74),"")</f>
        <v>0.2210249267</v>
      </c>
      <c r="M74" s="14" t="str">
        <f>iferror(average('Revenue Growth YoY'!M71:M74),"")</f>
        <v/>
      </c>
      <c r="N74" s="14" t="str">
        <f>iferror(average('Revenue Growth YoY'!N71:N74),"")</f>
        <v/>
      </c>
      <c r="O74" s="14">
        <f>iferror(average('Revenue Growth YoY'!O71:O74),"")</f>
        <v>0.1646080189</v>
      </c>
      <c r="P74" s="14" t="str">
        <f>iferror(average('Revenue Growth YoY'!P71:P74),"")</f>
        <v/>
      </c>
      <c r="Q74" s="14" t="str">
        <f>iferror(average('Revenue Growth YoY'!Q71:Q74),"")</f>
        <v/>
      </c>
      <c r="R74" s="14"/>
      <c r="S74" s="14">
        <f>iferror(average('Revenue Growth YoY'!S71:S74),"")</f>
        <v>0.05047002937</v>
      </c>
      <c r="T74" s="14" t="str">
        <f>iferror(average('Revenue Growth YoY'!T71:T74),"")</f>
        <v/>
      </c>
      <c r="U74" s="14" t="str">
        <f>iferror(average('Revenue Growth YoY'!U71:U74),"")</f>
        <v/>
      </c>
      <c r="V74" s="14">
        <f>iferror(average('Revenue Growth YoY'!V71:V74),"")</f>
        <v>0.1003585584</v>
      </c>
      <c r="W74" s="14" t="str">
        <f>iferror(average('Revenue Growth YoY'!W71:W74),"")</f>
        <v/>
      </c>
      <c r="X74" s="14">
        <f>iferror(average('Revenue Growth YoY'!X71:X74),"")</f>
        <v>0.01323419841</v>
      </c>
      <c r="Y74" s="14">
        <f>iferror(average('Revenue Growth YoY'!Y71:Y74),"")</f>
        <v>0.2960921086</v>
      </c>
      <c r="Z74" s="14" t="str">
        <f>iferror(average('Revenue Growth YoY'!Z71:Z74),"")</f>
        <v/>
      </c>
      <c r="AA74" s="14" t="str">
        <f>iferror(average('Revenue Growth YoY'!AA71:AA74),"")</f>
        <v/>
      </c>
      <c r="AB74" s="14" t="str">
        <f>iferror(average('Revenue Growth YoY'!AB71:AB74),"")</f>
        <v/>
      </c>
      <c r="AC74" s="14" t="str">
        <f>iferror(average('Revenue Growth YoY'!AC71:AC74),"")</f>
        <v/>
      </c>
      <c r="AD74" s="12"/>
    </row>
    <row r="75">
      <c r="A75" s="15" t="s">
        <v>102</v>
      </c>
      <c r="B75" s="14" t="str">
        <f>iferror(average('Revenue Growth YoY'!B72:B75),"")</f>
        <v/>
      </c>
      <c r="C75" s="14">
        <f>iferror(average('Revenue Growth YoY'!C72:C75),"")</f>
        <v>0.2051758042</v>
      </c>
      <c r="D75" s="14">
        <f>iferror(average('Revenue Growth YoY'!D72:D75),"")</f>
        <v>0.1953911923</v>
      </c>
      <c r="E75" s="14">
        <f>iferror(average('Revenue Growth YoY'!E72:E75),"")</f>
        <v>0.3396998761</v>
      </c>
      <c r="F75" s="14">
        <f>iferror(average('Revenue Growth YoY'!F72:F75),"")</f>
        <v>0.2882468343</v>
      </c>
      <c r="G75" s="14"/>
      <c r="H75" s="14">
        <f>iferror(average('Revenue Growth YoY'!H72:H75),"")</f>
        <v>-0.7653001269</v>
      </c>
      <c r="I75" s="14" t="str">
        <f>iferror(average('Revenue Growth YoY'!I72:I75),"")</f>
        <v/>
      </c>
      <c r="J75" s="14">
        <f>iferror(average('Revenue Growth YoY'!J72:J75),"")</f>
        <v>0.1714020652</v>
      </c>
      <c r="K75" s="14" t="str">
        <f>iferror(average('Revenue Growth YoY'!K72:K75),"")</f>
        <v/>
      </c>
      <c r="L75" s="14">
        <f>iferror(average('Revenue Growth YoY'!L72:L75),"")</f>
        <v>0.20432267</v>
      </c>
      <c r="M75" s="14" t="str">
        <f>iferror(average('Revenue Growth YoY'!M72:M75),"")</f>
        <v/>
      </c>
      <c r="N75" s="14" t="str">
        <f>iferror(average('Revenue Growth YoY'!N72:N75),"")</f>
        <v/>
      </c>
      <c r="O75" s="14">
        <f>iferror(average('Revenue Growth YoY'!O72:O75),"")</f>
        <v>0.07465789387</v>
      </c>
      <c r="P75" s="14" t="str">
        <f>iferror(average('Revenue Growth YoY'!P72:P75),"")</f>
        <v/>
      </c>
      <c r="Q75" s="14" t="str">
        <f>iferror(average('Revenue Growth YoY'!Q72:Q75),"")</f>
        <v/>
      </c>
      <c r="R75" s="14"/>
      <c r="S75" s="14">
        <f>iferror(average('Revenue Growth YoY'!S72:S75),"")</f>
        <v>0.1686683488</v>
      </c>
      <c r="T75" s="14" t="str">
        <f>iferror(average('Revenue Growth YoY'!T72:T75),"")</f>
        <v/>
      </c>
      <c r="U75" s="14" t="str">
        <f>iferror(average('Revenue Growth YoY'!U72:U75),"")</f>
        <v/>
      </c>
      <c r="V75" s="14">
        <f>iferror(average('Revenue Growth YoY'!V72:V75),"")</f>
        <v>0.1003585584</v>
      </c>
      <c r="W75" s="14" t="str">
        <f>iferror(average('Revenue Growth YoY'!W72:W75),"")</f>
        <v/>
      </c>
      <c r="X75" s="14">
        <f>iferror(average('Revenue Growth YoY'!X72:X75),"")</f>
        <v>-0.0570091417</v>
      </c>
      <c r="Y75" s="14">
        <f>iferror(average('Revenue Growth YoY'!Y72:Y75),"")</f>
        <v>0.2667663349</v>
      </c>
      <c r="Z75" s="14" t="str">
        <f>iferror(average('Revenue Growth YoY'!Z72:Z75),"")</f>
        <v/>
      </c>
      <c r="AA75" s="14" t="str">
        <f>iferror(average('Revenue Growth YoY'!AA72:AA75),"")</f>
        <v/>
      </c>
      <c r="AB75" s="14" t="str">
        <f>iferror(average('Revenue Growth YoY'!AB72:AB75),"")</f>
        <v/>
      </c>
      <c r="AC75" s="14" t="str">
        <f>iferror(average('Revenue Growth YoY'!AC72:AC75),"")</f>
        <v/>
      </c>
      <c r="AD75" s="12"/>
    </row>
    <row r="76">
      <c r="A76" s="15" t="s">
        <v>103</v>
      </c>
      <c r="B76" s="14" t="str">
        <f>iferror(average('Revenue Growth YoY'!B73:B76),"")</f>
        <v/>
      </c>
      <c r="C76" s="14">
        <f>iferror(average('Revenue Growth YoY'!C73:C76),"")</f>
        <v>0.1676619665</v>
      </c>
      <c r="D76" s="14">
        <f>iferror(average('Revenue Growth YoY'!D73:D76),"")</f>
        <v>0.1828234371</v>
      </c>
      <c r="E76" s="14">
        <f>iferror(average('Revenue Growth YoY'!E73:E76),"")</f>
        <v>0.3591896485</v>
      </c>
      <c r="F76" s="14">
        <f>iferror(average('Revenue Growth YoY'!F73:F76),"")</f>
        <v>0.2579751501</v>
      </c>
      <c r="G76" s="14"/>
      <c r="H76" s="14">
        <f>iferror(average('Revenue Growth YoY'!H73:H76),"")</f>
        <v>0.02677820353</v>
      </c>
      <c r="I76" s="14" t="str">
        <f>iferror(average('Revenue Growth YoY'!I73:I76),"")</f>
        <v/>
      </c>
      <c r="J76" s="14">
        <f>iferror(average('Revenue Growth YoY'!J73:J76),"")</f>
        <v>0.1589601807</v>
      </c>
      <c r="K76" s="14" t="str">
        <f>iferror(average('Revenue Growth YoY'!K73:K76),"")</f>
        <v/>
      </c>
      <c r="L76" s="14">
        <f>iferror(average('Revenue Growth YoY'!L73:L76),"")</f>
        <v>0.1876204132</v>
      </c>
      <c r="M76" s="14" t="str">
        <f>iferror(average('Revenue Growth YoY'!M73:M76),"")</f>
        <v/>
      </c>
      <c r="N76" s="14" t="str">
        <f>iferror(average('Revenue Growth YoY'!N73:N76),"")</f>
        <v/>
      </c>
      <c r="O76" s="14">
        <f>iferror(average('Revenue Growth YoY'!O73:O76),"")</f>
        <v>-0.0152922312</v>
      </c>
      <c r="P76" s="14" t="str">
        <f>iferror(average('Revenue Growth YoY'!P73:P76),"")</f>
        <v/>
      </c>
      <c r="Q76" s="14" t="str">
        <f>iferror(average('Revenue Growth YoY'!Q73:Q76),"")</f>
        <v/>
      </c>
      <c r="R76" s="14"/>
      <c r="S76" s="14">
        <f>iferror(average('Revenue Growth YoY'!S73:S76),"")</f>
        <v>0.2868666683</v>
      </c>
      <c r="T76" s="14" t="str">
        <f>iferror(average('Revenue Growth YoY'!T73:T76),"")</f>
        <v/>
      </c>
      <c r="U76" s="14" t="str">
        <f>iferror(average('Revenue Growth YoY'!U73:U76),"")</f>
        <v/>
      </c>
      <c r="V76" s="14">
        <f>iferror(average('Revenue Growth YoY'!V73:V76),"")</f>
        <v>0.1003585584</v>
      </c>
      <c r="W76" s="14" t="str">
        <f>iferror(average('Revenue Growth YoY'!W73:W76),"")</f>
        <v/>
      </c>
      <c r="X76" s="14">
        <f>iferror(average('Revenue Growth YoY'!X73:X76),"")</f>
        <v>-0.1272524818</v>
      </c>
      <c r="Y76" s="14">
        <f>iferror(average('Revenue Growth YoY'!Y73:Y76),"")</f>
        <v>0.2374405613</v>
      </c>
      <c r="Z76" s="14" t="str">
        <f>iferror(average('Revenue Growth YoY'!Z73:Z76),"")</f>
        <v/>
      </c>
      <c r="AA76" s="14" t="str">
        <f>iferror(average('Revenue Growth YoY'!AA73:AA76),"")</f>
        <v/>
      </c>
      <c r="AB76" s="14" t="str">
        <f>iferror(average('Revenue Growth YoY'!AB73:AB76),"")</f>
        <v/>
      </c>
      <c r="AC76" s="14" t="str">
        <f>iferror(average('Revenue Growth YoY'!AC73:AC76),"")</f>
        <v/>
      </c>
      <c r="AD76" s="12"/>
    </row>
    <row r="77">
      <c r="A77" s="15" t="s">
        <v>104</v>
      </c>
      <c r="B77" s="14" t="str">
        <f>iferror(average('Revenue Growth YoY'!B74:B77),"")</f>
        <v/>
      </c>
      <c r="C77" s="14">
        <f>iferror(average('Revenue Growth YoY'!C74:C77),"")</f>
        <v>0.1301481289</v>
      </c>
      <c r="D77" s="14">
        <f>iferror(average('Revenue Growth YoY'!D74:D77),"")</f>
        <v>0.1702556819</v>
      </c>
      <c r="E77" s="14">
        <f>iferror(average('Revenue Growth YoY'!E74:E77),"")</f>
        <v>0.378679421</v>
      </c>
      <c r="F77" s="14">
        <f>iferror(average('Revenue Growth YoY'!F74:F77),"")</f>
        <v>0.2277034659</v>
      </c>
      <c r="G77" s="14"/>
      <c r="H77" s="14">
        <f>iferror(average('Revenue Growth YoY'!H74:H77),"")</f>
        <v>0.818856534</v>
      </c>
      <c r="I77" s="14" t="str">
        <f>iferror(average('Revenue Growth YoY'!I74:I77),"")</f>
        <v/>
      </c>
      <c r="J77" s="14">
        <f>iferror(average('Revenue Growth YoY'!J74:J77),"")</f>
        <v>0.1465182963</v>
      </c>
      <c r="K77" s="14" t="str">
        <f>iferror(average('Revenue Growth YoY'!K74:K77),"")</f>
        <v/>
      </c>
      <c r="L77" s="14">
        <f>iferror(average('Revenue Growth YoY'!L74:L77),"")</f>
        <v>0.1709181564</v>
      </c>
      <c r="M77" s="14" t="str">
        <f>iferror(average('Revenue Growth YoY'!M74:M77),"")</f>
        <v/>
      </c>
      <c r="N77" s="14" t="str">
        <f>iferror(average('Revenue Growth YoY'!N74:N77),"")</f>
        <v/>
      </c>
      <c r="O77" s="14">
        <f>iferror(average('Revenue Growth YoY'!O74:O77),"")</f>
        <v>0.05189829398</v>
      </c>
      <c r="P77" s="14" t="str">
        <f>iferror(average('Revenue Growth YoY'!P74:P77),"")</f>
        <v/>
      </c>
      <c r="Q77" s="14" t="str">
        <f>iferror(average('Revenue Growth YoY'!Q74:Q77),"")</f>
        <v/>
      </c>
      <c r="R77" s="14"/>
      <c r="S77" s="14">
        <f>iferror(average('Revenue Growth YoY'!S74:S77),"")</f>
        <v>0.4050649877</v>
      </c>
      <c r="T77" s="14" t="str">
        <f>iferror(average('Revenue Growth YoY'!T74:T77),"")</f>
        <v/>
      </c>
      <c r="U77" s="14" t="str">
        <f>iferror(average('Revenue Growth YoY'!U74:U77),"")</f>
        <v/>
      </c>
      <c r="V77" s="14">
        <f>iferror(average('Revenue Growth YoY'!V74:V77),"")</f>
        <v>0.1003585584</v>
      </c>
      <c r="W77" s="14" t="str">
        <f>iferror(average('Revenue Growth YoY'!W74:W77),"")</f>
        <v/>
      </c>
      <c r="X77" s="14">
        <f>iferror(average('Revenue Growth YoY'!X74:X77),"")</f>
        <v>-0.07576661069</v>
      </c>
      <c r="Y77" s="14">
        <f>iferror(average('Revenue Growth YoY'!Y74:Y77),"")</f>
        <v>0.2081147876</v>
      </c>
      <c r="Z77" s="14" t="str">
        <f>iferror(average('Revenue Growth YoY'!Z74:Z77),"")</f>
        <v/>
      </c>
      <c r="AA77" s="14" t="str">
        <f>iferror(average('Revenue Growth YoY'!AA74:AA77),"")</f>
        <v/>
      </c>
      <c r="AB77" s="14" t="str">
        <f>iferror(average('Revenue Growth YoY'!AB74:AB77),"")</f>
        <v/>
      </c>
      <c r="AC77" s="14" t="str">
        <f>iferror(average('Revenue Growth YoY'!AC74:AC77),"")</f>
        <v/>
      </c>
      <c r="AD77" s="12"/>
    </row>
    <row r="78">
      <c r="A78" s="15" t="s">
        <v>105</v>
      </c>
      <c r="B78" s="14" t="str">
        <f>iferror(average('Revenue Growth YoY'!B75:B78),"")</f>
        <v/>
      </c>
      <c r="C78" s="14">
        <f>iferror(average('Revenue Growth YoY'!C75:C78),"")</f>
        <v>0.09263429121</v>
      </c>
      <c r="D78" s="14">
        <f>iferror(average('Revenue Growth YoY'!D75:D78),"")</f>
        <v>0.1576879267</v>
      </c>
      <c r="E78" s="14">
        <f>iferror(average('Revenue Growth YoY'!E75:E78),"")</f>
        <v>0.3981691934</v>
      </c>
      <c r="F78" s="14">
        <f>iferror(average('Revenue Growth YoY'!F75:F78),"")</f>
        <v>0.1974317817</v>
      </c>
      <c r="G78" s="14">
        <f>iferror(average('Revenue Growth YoY'!G75:G78),"")</f>
        <v>0.4293827884</v>
      </c>
      <c r="H78" s="14">
        <f>iferror(average('Revenue Growth YoY'!H75:H78),"")</f>
        <v>1.610934864</v>
      </c>
      <c r="I78" s="14" t="str">
        <f>iferror(average('Revenue Growth YoY'!I75:I78),"")</f>
        <v/>
      </c>
      <c r="J78" s="14">
        <f>iferror(average('Revenue Growth YoY'!J75:J78),"")</f>
        <v>0.1340764118</v>
      </c>
      <c r="K78" s="14" t="str">
        <f>iferror(average('Revenue Growth YoY'!K75:K78),"")</f>
        <v/>
      </c>
      <c r="L78" s="14">
        <f>iferror(average('Revenue Growth YoY'!L75:L78),"")</f>
        <v>0.1542158997</v>
      </c>
      <c r="M78" s="14" t="str">
        <f>iferror(average('Revenue Growth YoY'!M75:M78),"")</f>
        <v/>
      </c>
      <c r="N78" s="14" t="str">
        <f>iferror(average('Revenue Growth YoY'!N75:N78),"")</f>
        <v/>
      </c>
      <c r="O78" s="14">
        <f>iferror(average('Revenue Growth YoY'!O75:O78),"")</f>
        <v>0.1190888192</v>
      </c>
      <c r="P78" s="14" t="str">
        <f>iferror(average('Revenue Growth YoY'!P75:P78),"")</f>
        <v/>
      </c>
      <c r="Q78" s="14" t="str">
        <f>iferror(average('Revenue Growth YoY'!Q75:Q78),"")</f>
        <v/>
      </c>
      <c r="R78" s="14"/>
      <c r="S78" s="14">
        <f>iferror(average('Revenue Growth YoY'!S75:S78),"")</f>
        <v>0.5232633071</v>
      </c>
      <c r="T78" s="14" t="str">
        <f>iferror(average('Revenue Growth YoY'!T75:T78),"")</f>
        <v/>
      </c>
      <c r="U78" s="14" t="str">
        <f>iferror(average('Revenue Growth YoY'!U75:U78),"")</f>
        <v/>
      </c>
      <c r="V78" s="14" t="str">
        <f>iferror(average('Revenue Growth YoY'!V75:V78),"")</f>
        <v/>
      </c>
      <c r="W78" s="14" t="str">
        <f>iferror(average('Revenue Growth YoY'!W75:W78),"")</f>
        <v/>
      </c>
      <c r="X78" s="14">
        <f>iferror(average('Revenue Growth YoY'!X75:X78),"")</f>
        <v>-0.02428073957</v>
      </c>
      <c r="Y78" s="14">
        <f>iferror(average('Revenue Growth YoY'!Y75:Y78),"")</f>
        <v>0.1787890139</v>
      </c>
      <c r="Z78" s="14" t="str">
        <f>iferror(average('Revenue Growth YoY'!Z75:Z78),"")</f>
        <v/>
      </c>
      <c r="AA78" s="14" t="str">
        <f>iferror(average('Revenue Growth YoY'!AA75:AA78),"")</f>
        <v/>
      </c>
      <c r="AB78" s="14" t="str">
        <f>iferror(average('Revenue Growth YoY'!AB75:AB78),"")</f>
        <v/>
      </c>
      <c r="AC78" s="14" t="str">
        <f>iferror(average('Revenue Growth YoY'!AC75:AC78),"")</f>
        <v/>
      </c>
      <c r="AD78" s="12"/>
    </row>
    <row r="79">
      <c r="A79" s="15" t="s">
        <v>106</v>
      </c>
      <c r="B79" s="14"/>
      <c r="C79" s="14">
        <f>iferror(average('Revenue Growth YoY'!C76:C79),"")</f>
        <v>0.05234681851</v>
      </c>
      <c r="D79" s="14">
        <f>iferror(average('Revenue Growth YoY'!D76:D79),"")</f>
        <v>0.1536240897</v>
      </c>
      <c r="E79" s="14">
        <f>iferror(average('Revenue Growth YoY'!E76:E79),"")</f>
        <v>0.4548830008</v>
      </c>
      <c r="F79" s="14">
        <f>iferror(average('Revenue Growth YoY'!F76:F79),"")</f>
        <v>0.1339987693</v>
      </c>
      <c r="G79" s="14">
        <f>iferror(average('Revenue Growth YoY'!G76:G79),"")</f>
        <v>0.3689714397</v>
      </c>
      <c r="H79" s="14">
        <f>iferror(average('Revenue Growth YoY'!H76:H79),"")</f>
        <v>2.403013195</v>
      </c>
      <c r="I79" s="14">
        <f>iferror(average('Revenue Growth YoY'!I76:I79),"")</f>
        <v>-0.09890896846</v>
      </c>
      <c r="J79" s="14">
        <f>iferror(average('Revenue Growth YoY'!J76:J79),"")</f>
        <v>0.1340565363</v>
      </c>
      <c r="K79" s="14" t="str">
        <f>iferror(average('Revenue Growth YoY'!K76:K79),"")</f>
        <v/>
      </c>
      <c r="L79" s="14">
        <f>iferror(average('Revenue Growth YoY'!L76:L79),"")</f>
        <v>-0.1340796847</v>
      </c>
      <c r="M79" s="14" t="str">
        <f>iferror(average('Revenue Growth YoY'!M76:M79),"")</f>
        <v/>
      </c>
      <c r="N79" s="14" t="str">
        <f>iferror(average('Revenue Growth YoY'!N76:N79),"")</f>
        <v/>
      </c>
      <c r="O79" s="14">
        <f>iferror(average('Revenue Growth YoY'!O76:O79),"")</f>
        <v>0.1862793443</v>
      </c>
      <c r="P79" s="14" t="str">
        <f>iferror(average('Revenue Growth YoY'!P76:P79),"")</f>
        <v/>
      </c>
      <c r="Q79" s="14" t="str">
        <f>iferror(average('Revenue Growth YoY'!Q76:Q79),"")</f>
        <v/>
      </c>
      <c r="R79" s="14"/>
      <c r="S79" s="14">
        <f>iferror(average('Revenue Growth YoY'!S76:S79),"")</f>
        <v>0.3959836068</v>
      </c>
      <c r="T79" s="14" t="str">
        <f>iferror(average('Revenue Growth YoY'!T76:T79),"")</f>
        <v/>
      </c>
      <c r="U79" s="14" t="str">
        <f>iferror(average('Revenue Growth YoY'!U76:U79),"")</f>
        <v/>
      </c>
      <c r="V79" s="14" t="str">
        <f>iferror(average('Revenue Growth YoY'!V76:V79),"")</f>
        <v/>
      </c>
      <c r="W79" s="14" t="str">
        <f>iferror(average('Revenue Growth YoY'!W76:W79),"")</f>
        <v/>
      </c>
      <c r="X79" s="14">
        <f>iferror(average('Revenue Growth YoY'!X76:X79),"")</f>
        <v>0.02720513156</v>
      </c>
      <c r="Y79" s="14">
        <f>iferror(average('Revenue Growth YoY'!Y76:Y79),"")</f>
        <v>0.1829796844</v>
      </c>
      <c r="Z79" s="14">
        <f>iferror(average('Revenue Growth YoY'!Z76:Z79),"")</f>
        <v>0.4170744762</v>
      </c>
      <c r="AA79" s="14">
        <f>iferror(average('Revenue Growth YoY'!AA76:AA79),"")</f>
        <v>2.787046417</v>
      </c>
      <c r="AB79" s="14" t="str">
        <f>iferror(average('Revenue Growth YoY'!AB76:AB79),"")</f>
        <v/>
      </c>
      <c r="AC79" s="14" t="str">
        <f>iferror(average('Revenue Growth YoY'!AC76:AC79),"")</f>
        <v/>
      </c>
      <c r="AD79" s="12"/>
    </row>
    <row r="80">
      <c r="A80" s="15" t="s">
        <v>107</v>
      </c>
      <c r="B80" s="14"/>
      <c r="C80" s="14">
        <f>iferror(average('Revenue Growth YoY'!C77:C80),"")</f>
        <v>0.05629184527</v>
      </c>
      <c r="D80" s="14">
        <f>iferror(average('Revenue Growth YoY'!D77:D80),"")</f>
        <v>0.1933231615</v>
      </c>
      <c r="E80" s="14">
        <f>iferror(average('Revenue Growth YoY'!E77:E80),"")</f>
        <v>0.5127881751</v>
      </c>
      <c r="F80" s="14">
        <f>iferror(average('Revenue Growth YoY'!F77:F80),"")</f>
        <v>0.09670516699</v>
      </c>
      <c r="G80" s="14">
        <f>iferror(average('Revenue Growth YoY'!G77:G80),"")</f>
        <v>0.3450714664</v>
      </c>
      <c r="H80" s="14">
        <f>iferror(average('Revenue Growth YoY'!H77:H80),"")</f>
        <v>1.798832336</v>
      </c>
      <c r="I80" s="14">
        <f>iferror(average('Revenue Growth YoY'!I77:I80),"")</f>
        <v>-0.07993863096</v>
      </c>
      <c r="J80" s="14">
        <f>iferror(average('Revenue Growth YoY'!J77:J80),"")</f>
        <v>0.2126259148</v>
      </c>
      <c r="K80" s="14" t="str">
        <f>iferror(average('Revenue Growth YoY'!K77:K80),"")</f>
        <v/>
      </c>
      <c r="L80" s="14">
        <f>iferror(average('Revenue Growth YoY'!L77:L80),"")</f>
        <v>-0.4223269249</v>
      </c>
      <c r="M80" s="14" t="str">
        <f>iferror(average('Revenue Growth YoY'!M77:M80),"")</f>
        <v/>
      </c>
      <c r="N80" s="14" t="str">
        <f>iferror(average('Revenue Growth YoY'!N77:N80),"")</f>
        <v/>
      </c>
      <c r="O80" s="14">
        <f>iferror(average('Revenue Growth YoY'!O77:O80),"")</f>
        <v>0.2534698695</v>
      </c>
      <c r="P80" s="14" t="str">
        <f>iferror(average('Revenue Growth YoY'!P77:P80),"")</f>
        <v/>
      </c>
      <c r="Q80" s="14" t="str">
        <f>iferror(average('Revenue Growth YoY'!Q77:Q80),"")</f>
        <v/>
      </c>
      <c r="R80" s="14"/>
      <c r="S80" s="14">
        <f>iferror(average('Revenue Growth YoY'!S77:S80),"")</f>
        <v>0.2687039064</v>
      </c>
      <c r="T80" s="14" t="str">
        <f>iferror(average('Revenue Growth YoY'!T77:T80),"")</f>
        <v/>
      </c>
      <c r="U80" s="14" t="str">
        <f>iferror(average('Revenue Growth YoY'!U77:U80),"")</f>
        <v/>
      </c>
      <c r="V80" s="14" t="str">
        <f>iferror(average('Revenue Growth YoY'!V77:V80),"")</f>
        <v/>
      </c>
      <c r="W80" s="14" t="str">
        <f>iferror(average('Revenue Growth YoY'!W77:W80),"")</f>
        <v/>
      </c>
      <c r="X80" s="14">
        <f>iferror(average('Revenue Growth YoY'!X77:X80),"")</f>
        <v>0.07869100268</v>
      </c>
      <c r="Y80" s="14">
        <f>iferror(average('Revenue Growth YoY'!Y77:Y80),"")</f>
        <v>0.1871703549</v>
      </c>
      <c r="Z80" s="14">
        <f>iferror(average('Revenue Growth YoY'!Z77:Z80),"")</f>
        <v>0.4170744762</v>
      </c>
      <c r="AA80" s="14">
        <f>iferror(average('Revenue Growth YoY'!AA77:AA80),"")</f>
        <v>2.787046417</v>
      </c>
      <c r="AB80" s="14" t="str">
        <f>iferror(average('Revenue Growth YoY'!AB77:AB80),"")</f>
        <v/>
      </c>
      <c r="AC80" s="14" t="str">
        <f>iferror(average('Revenue Growth YoY'!AC77:AC80),"")</f>
        <v/>
      </c>
      <c r="AD80" s="12"/>
    </row>
    <row r="81">
      <c r="A81" s="15" t="s">
        <v>108</v>
      </c>
      <c r="B81" s="14"/>
      <c r="C81" s="14">
        <f>iferror(average('Revenue Growth YoY'!C78:C81),"")</f>
        <v>0.1832856144</v>
      </c>
      <c r="D81" s="14">
        <f>iferror(average('Revenue Growth YoY'!D78:D81),"")</f>
        <v>0.2907233287</v>
      </c>
      <c r="E81" s="14">
        <f>iferror(average('Revenue Growth YoY'!E78:E81),"")</f>
        <v>0.6695768003</v>
      </c>
      <c r="F81" s="14">
        <f>iferror(average('Revenue Growth YoY'!F78:F81),"")</f>
        <v>0.07951880333</v>
      </c>
      <c r="G81" s="14">
        <f>iferror(average('Revenue Growth YoY'!G78:G81),"")</f>
        <v>0.4478436117</v>
      </c>
      <c r="H81" s="14">
        <f>iferror(average('Revenue Growth YoY'!H78:H81),"")</f>
        <v>1.194651477</v>
      </c>
      <c r="I81" s="14">
        <f>iferror(average('Revenue Growth YoY'!I78:I81),"")</f>
        <v>-0.0514831247</v>
      </c>
      <c r="J81" s="14">
        <f>iferror(average('Revenue Growth YoY'!J78:J81),"")</f>
        <v>0.1784583975</v>
      </c>
      <c r="K81" s="14" t="str">
        <f>iferror(average('Revenue Growth YoY'!K78:K81),"")</f>
        <v/>
      </c>
      <c r="L81" s="14">
        <f>iferror(average('Revenue Growth YoY'!L78:L81),"")</f>
        <v>-0.7106225093</v>
      </c>
      <c r="M81" s="14" t="str">
        <f>iferror(average('Revenue Growth YoY'!M78:M81),"")</f>
        <v/>
      </c>
      <c r="N81" s="14" t="str">
        <f>iferror(average('Revenue Growth YoY'!N78:N81),"")</f>
        <v/>
      </c>
      <c r="O81" s="14">
        <f>iferror(average('Revenue Growth YoY'!O78:O81),"")</f>
        <v>0.2866541263</v>
      </c>
      <c r="P81" s="14" t="str">
        <f>iferror(average('Revenue Growth YoY'!P78:P81),"")</f>
        <v/>
      </c>
      <c r="Q81" s="14" t="str">
        <f>iferror(average('Revenue Growth YoY'!Q78:Q81),"")</f>
        <v/>
      </c>
      <c r="R81" s="14"/>
      <c r="S81" s="14">
        <f>iferror(average('Revenue Growth YoY'!S78:S81),"")</f>
        <v>0.1414242061</v>
      </c>
      <c r="T81" s="14" t="str">
        <f>iferror(average('Revenue Growth YoY'!T78:T81),"")</f>
        <v/>
      </c>
      <c r="U81" s="14" t="str">
        <f>iferror(average('Revenue Growth YoY'!U78:U81),"")</f>
        <v/>
      </c>
      <c r="V81" s="14" t="str">
        <f>iferror(average('Revenue Growth YoY'!V78:V81),"")</f>
        <v/>
      </c>
      <c r="W81" s="14" t="str">
        <f>iferror(average('Revenue Growth YoY'!W78:W81),"")</f>
        <v/>
      </c>
      <c r="X81" s="14">
        <f>iferror(average('Revenue Growth YoY'!X78:X81),"")</f>
        <v>0.06906512918</v>
      </c>
      <c r="Y81" s="14">
        <f>iferror(average('Revenue Growth YoY'!Y78:Y81),"")</f>
        <v>0.1913610253</v>
      </c>
      <c r="Z81" s="14">
        <f>iferror(average('Revenue Growth YoY'!Z78:Z81),"")</f>
        <v>0.4170744762</v>
      </c>
      <c r="AA81" s="14">
        <f>iferror(average('Revenue Growth YoY'!AA78:AA81),"")</f>
        <v>2.787046417</v>
      </c>
      <c r="AB81" s="14" t="str">
        <f>iferror(average('Revenue Growth YoY'!AB78:AB81),"")</f>
        <v/>
      </c>
      <c r="AC81" s="14" t="str">
        <f>iferror(average('Revenue Growth YoY'!AC78:AC81),"")</f>
        <v/>
      </c>
      <c r="AD81" s="12"/>
    </row>
    <row r="82">
      <c r="A82" s="15" t="s">
        <v>109</v>
      </c>
      <c r="B82" s="14">
        <f>iferror(average('Revenue Growth YoY'!B79:B82),"")</f>
        <v>0.8014169118</v>
      </c>
      <c r="C82" s="14">
        <f>iferror(average('Revenue Growth YoY'!C79:C82),"")</f>
        <v>0.1646807395</v>
      </c>
      <c r="D82" s="14">
        <f>iferror(average('Revenue Growth YoY'!D79:D82),"")</f>
        <v>0.3149854841</v>
      </c>
      <c r="E82" s="14">
        <f>iferror(average('Revenue Growth YoY'!E79:E82),"")</f>
        <v>0.7644143479</v>
      </c>
      <c r="F82" s="14">
        <f>iferror(average('Revenue Growth YoY'!F79:F82),"")</f>
        <v>-0.008042895442</v>
      </c>
      <c r="G82" s="14">
        <f>iferror(average('Revenue Growth YoY'!G79:G82),"")</f>
        <v>0.4053153856</v>
      </c>
      <c r="H82" s="14">
        <f>iferror(average('Revenue Growth YoY'!H79:H82),"")</f>
        <v>0.5904706186</v>
      </c>
      <c r="I82" s="14">
        <f>iferror(average('Revenue Growth YoY'!I79:I82),"")</f>
        <v>-0.02539891063</v>
      </c>
      <c r="J82" s="14">
        <f>iferror(average('Revenue Growth YoY'!J79:J82),"")</f>
        <v>0.2629612969</v>
      </c>
      <c r="K82" s="14" t="str">
        <f>iferror(average('Revenue Growth YoY'!K79:K82),"")</f>
        <v/>
      </c>
      <c r="L82" s="14">
        <f>iferror(average('Revenue Growth YoY'!L79:L82),"")</f>
        <v>-0.998947108</v>
      </c>
      <c r="M82" s="14" t="str">
        <f>iferror(average('Revenue Growth YoY'!M79:M82),"")</f>
        <v/>
      </c>
      <c r="N82" s="14" t="str">
        <f>iferror(average('Revenue Growth YoY'!N79:N82),"")</f>
        <v/>
      </c>
      <c r="O82" s="14">
        <f>iferror(average('Revenue Growth YoY'!O79:O82),"")</f>
        <v>0.319838383</v>
      </c>
      <c r="P82" s="14" t="str">
        <f>iferror(average('Revenue Growth YoY'!P79:P82),"")</f>
        <v/>
      </c>
      <c r="Q82" s="14" t="str">
        <f>iferror(average('Revenue Growth YoY'!Q79:Q82),"")</f>
        <v/>
      </c>
      <c r="R82" s="14"/>
      <c r="S82" s="14">
        <f>iferror(average('Revenue Growth YoY'!S79:S82),"")</f>
        <v>0.01414450571</v>
      </c>
      <c r="T82" s="14" t="str">
        <f>iferror(average('Revenue Growth YoY'!T79:T82),"")</f>
        <v/>
      </c>
      <c r="U82" s="14" t="str">
        <f>iferror(average('Revenue Growth YoY'!U79:U82),"")</f>
        <v/>
      </c>
      <c r="V82" s="14" t="str">
        <f>iferror(average('Revenue Growth YoY'!V79:V82),"")</f>
        <v/>
      </c>
      <c r="W82" s="14" t="str">
        <f>iferror(average('Revenue Growth YoY'!W79:W82),"")</f>
        <v/>
      </c>
      <c r="X82" s="14">
        <f>iferror(average('Revenue Growth YoY'!X79:X82),"")</f>
        <v>0.05943925568</v>
      </c>
      <c r="Y82" s="14">
        <f>iferror(average('Revenue Growth YoY'!Y79:Y82),"")</f>
        <v>0.1955516958</v>
      </c>
      <c r="Z82" s="14">
        <f>iferror(average('Revenue Growth YoY'!Z79:Z82),"")</f>
        <v>0.4170744762</v>
      </c>
      <c r="AA82" s="14">
        <f>iferror(average('Revenue Growth YoY'!AA79:AA82),"")</f>
        <v>2.787046417</v>
      </c>
      <c r="AB82" s="14" t="str">
        <f>iferror(average('Revenue Growth YoY'!AB79:AB82),"")</f>
        <v/>
      </c>
      <c r="AC82" s="14" t="str">
        <f>iferror(average('Revenue Growth YoY'!AC79:AC82),"")</f>
        <v/>
      </c>
      <c r="AD82" s="12"/>
    </row>
    <row r="83">
      <c r="A83" s="15" t="s">
        <v>110</v>
      </c>
      <c r="B83" s="14">
        <f>iferror(average('Revenue Growth YoY'!B80:B83),"")</f>
        <v>0.7378949706</v>
      </c>
      <c r="C83" s="14">
        <f>iferror(average('Revenue Growth YoY'!C80:C83),"")</f>
        <v>0.2133976282</v>
      </c>
      <c r="D83" s="14">
        <f>iferror(average('Revenue Growth YoY'!D80:D83),"")</f>
        <v>0.3170485578</v>
      </c>
      <c r="E83" s="14">
        <f>iferror(average('Revenue Growth YoY'!E80:E83),"")</f>
        <v>0.6847711453</v>
      </c>
      <c r="F83" s="14">
        <f>iferror(average('Revenue Growth YoY'!F80:F83),"")</f>
        <v>0.02023671704</v>
      </c>
      <c r="G83" s="14">
        <f>iferror(average('Revenue Growth YoY'!G80:G83),"")</f>
        <v>0.5281489167</v>
      </c>
      <c r="H83" s="14">
        <f>iferror(average('Revenue Growth YoY'!H80:H83),"")</f>
        <v>-0.01371024011</v>
      </c>
      <c r="I83" s="14">
        <f>iferror(average('Revenue Growth YoY'!I80:I83),"")</f>
        <v>0.07827306833</v>
      </c>
      <c r="J83" s="14">
        <f>iferror(average('Revenue Growth YoY'!J80:J83),"")</f>
        <v>0.311133497</v>
      </c>
      <c r="K83" s="14" t="str">
        <f>iferror(average('Revenue Growth YoY'!K80:K83),"")</f>
        <v/>
      </c>
      <c r="L83" s="14">
        <f>iferror(average('Revenue Growth YoY'!L80:L83),"")</f>
        <v>-0.7763479562</v>
      </c>
      <c r="M83" s="14" t="str">
        <f>iferror(average('Revenue Growth YoY'!M80:M83),"")</f>
        <v/>
      </c>
      <c r="N83" s="14">
        <f>iferror(average('Revenue Growth YoY'!N80:N83),"")</f>
        <v>0.2599620493</v>
      </c>
      <c r="O83" s="14">
        <f>iferror(average('Revenue Growth YoY'!O80:O83),"")</f>
        <v>0.3530226398</v>
      </c>
      <c r="P83" s="14" t="str">
        <f>iferror(average('Revenue Growth YoY'!P80:P83),"")</f>
        <v/>
      </c>
      <c r="Q83" s="14" t="str">
        <f>iferror(average('Revenue Growth YoY'!Q80:Q83),"")</f>
        <v/>
      </c>
      <c r="R83" s="14"/>
      <c r="S83" s="14">
        <f>iferror(average('Revenue Growth YoY'!S80:S83),"")</f>
        <v>0.04210572043</v>
      </c>
      <c r="T83" s="14" t="str">
        <f>iferror(average('Revenue Growth YoY'!T80:T83),"")</f>
        <v/>
      </c>
      <c r="U83" s="14" t="str">
        <f>iferror(average('Revenue Growth YoY'!U80:U83),"")</f>
        <v/>
      </c>
      <c r="V83" s="14" t="str">
        <f>iferror(average('Revenue Growth YoY'!V80:V83),"")</f>
        <v/>
      </c>
      <c r="W83" s="14" t="str">
        <f>iferror(average('Revenue Growth YoY'!W80:W83),"")</f>
        <v/>
      </c>
      <c r="X83" s="14">
        <f>iferror(average('Revenue Growth YoY'!X80:X83),"")</f>
        <v>0.04981338218</v>
      </c>
      <c r="Y83" s="14">
        <f>iferror(average('Revenue Growth YoY'!Y80:Y83),"")</f>
        <v>0.2681087846</v>
      </c>
      <c r="Z83" s="14">
        <f>iferror(average('Revenue Growth YoY'!Z80:Z83),"")</f>
        <v>0.3969215998</v>
      </c>
      <c r="AA83" s="14">
        <f>iferror(average('Revenue Growth YoY'!AA80:AA83),"")</f>
        <v>2.49476046</v>
      </c>
      <c r="AB83" s="14" t="str">
        <f>iferror(average('Revenue Growth YoY'!AB80:AB83),"")</f>
        <v/>
      </c>
      <c r="AC83" s="14">
        <f>iferror(average('Revenue Growth YoY'!AC80:AC83),"")</f>
        <v>0.5877669646</v>
      </c>
      <c r="AD83" s="12"/>
    </row>
    <row r="84">
      <c r="A84" s="15" t="s">
        <v>111</v>
      </c>
      <c r="B84" s="14">
        <f>iferror(average('Revenue Growth YoY'!B81:B84),"")</f>
        <v>0.6743730294</v>
      </c>
      <c r="C84" s="14">
        <f>iferror(average('Revenue Growth YoY'!C81:C84),"")</f>
        <v>0.2321230584</v>
      </c>
      <c r="D84" s="14">
        <f>iferror(average('Revenue Growth YoY'!D81:D84),"")</f>
        <v>0.2823264115</v>
      </c>
      <c r="E84" s="14">
        <f>iferror(average('Revenue Growth YoY'!E81:E84),"")</f>
        <v>0.6256423862</v>
      </c>
      <c r="F84" s="14">
        <f>iferror(average('Revenue Growth YoY'!F81:F84),"")</f>
        <v>0.02927211812</v>
      </c>
      <c r="G84" s="14">
        <f>iferror(average('Revenue Growth YoY'!G81:G84),"")</f>
        <v>0.611373584</v>
      </c>
      <c r="H84" s="14">
        <f>iferror(average('Revenue Growth YoY'!H81:H84),"")</f>
        <v>0.02434682672</v>
      </c>
      <c r="I84" s="14">
        <f>iferror(average('Revenue Growth YoY'!I81:I84),"")</f>
        <v>0.1551388791</v>
      </c>
      <c r="J84" s="14">
        <f>iferror(average('Revenue Growth YoY'!J81:J84),"")</f>
        <v>0.348965404</v>
      </c>
      <c r="K84" s="14" t="str">
        <f>iferror(average('Revenue Growth YoY'!K81:K84),"")</f>
        <v/>
      </c>
      <c r="L84" s="14">
        <f>iferror(average('Revenue Growth YoY'!L81:L84),"")</f>
        <v>-0.5459177525</v>
      </c>
      <c r="M84" s="14" t="str">
        <f>iferror(average('Revenue Growth YoY'!M81:M84),"")</f>
        <v/>
      </c>
      <c r="N84" s="14">
        <f>iferror(average('Revenue Growth YoY'!N81:N84),"")</f>
        <v>0.305396009</v>
      </c>
      <c r="O84" s="14">
        <f>iferror(average('Revenue Growth YoY'!O81:O84),"")</f>
        <v>0.3862068966</v>
      </c>
      <c r="P84" s="14" t="str">
        <f>iferror(average('Revenue Growth YoY'!P81:P84),"")</f>
        <v/>
      </c>
      <c r="Q84" s="14" t="str">
        <f>iferror(average('Revenue Growth YoY'!Q81:Q84),"")</f>
        <v/>
      </c>
      <c r="R84" s="14"/>
      <c r="S84" s="14">
        <f>iferror(average('Revenue Growth YoY'!S81:S84),"")</f>
        <v>0.07006693514</v>
      </c>
      <c r="T84" s="14"/>
      <c r="U84" s="14" t="str">
        <f>iferror(average('Revenue Growth YoY'!U81:U84),"")</f>
        <v/>
      </c>
      <c r="V84" s="14" t="str">
        <f>iferror(average('Revenue Growth YoY'!V81:V84),"")</f>
        <v/>
      </c>
      <c r="W84" s="14" t="str">
        <f>iferror(average('Revenue Growth YoY'!W81:W84),"")</f>
        <v/>
      </c>
      <c r="X84" s="14">
        <f>iferror(average('Revenue Growth YoY'!X81:X84),"")</f>
        <v>0.04018750868</v>
      </c>
      <c r="Y84" s="14">
        <f>iferror(average('Revenue Growth YoY'!Y81:Y84),"")</f>
        <v>0.3406658734</v>
      </c>
      <c r="Z84" s="14">
        <f>iferror(average('Revenue Growth YoY'!Z81:Z84),"")</f>
        <v>0.3767687233</v>
      </c>
      <c r="AA84" s="14">
        <f>iferror(average('Revenue Growth YoY'!AA81:AA84),"")</f>
        <v>2.202474503</v>
      </c>
      <c r="AB84" s="14" t="str">
        <f>iferror(average('Revenue Growth YoY'!AB81:AB84),"")</f>
        <v/>
      </c>
      <c r="AC84" s="14">
        <f>iferror(average('Revenue Growth YoY'!AC81:AC84),"")</f>
        <v>0.5877669646</v>
      </c>
      <c r="AD84" s="12"/>
    </row>
    <row r="85">
      <c r="A85" s="15" t="s">
        <v>112</v>
      </c>
      <c r="B85" s="14">
        <f>iferror(average('Revenue Growth YoY'!B82:B85),"")</f>
        <v>0.6108510882</v>
      </c>
      <c r="C85" s="14">
        <f>iferror(average('Revenue Growth YoY'!C82:C85),"")</f>
        <v>0.1322977958</v>
      </c>
      <c r="D85" s="14">
        <f>iferror(average('Revenue Growth YoY'!D82:D85),"")</f>
        <v>0.18279601</v>
      </c>
      <c r="E85" s="14">
        <f>iferror(average('Revenue Growth YoY'!E82:E85),"")</f>
        <v>0.4710761684</v>
      </c>
      <c r="F85" s="14">
        <f>iferror(average('Revenue Growth YoY'!F82:F85),"")</f>
        <v>0.007789372453</v>
      </c>
      <c r="G85" s="14">
        <f>iferror(average('Revenue Growth YoY'!G82:G85),"")</f>
        <v>0.442612017</v>
      </c>
      <c r="H85" s="14">
        <f>iferror(average('Revenue Growth YoY'!H82:H85),"")</f>
        <v>0.05098487917</v>
      </c>
      <c r="I85" s="14">
        <f>iferror(average('Revenue Growth YoY'!I82:I85),"")</f>
        <v>0.2138479448</v>
      </c>
      <c r="J85" s="14">
        <f>iferror(average('Revenue Growth YoY'!J82:J85),"")</f>
        <v>0.563317663</v>
      </c>
      <c r="K85" s="14" t="str">
        <f>iferror(average('Revenue Growth YoY'!K82:K85),"")</f>
        <v/>
      </c>
      <c r="L85" s="14">
        <f>iferror(average('Revenue Growth YoY'!L82:L85),"")</f>
        <v>-0.3126200051</v>
      </c>
      <c r="M85" s="14" t="str">
        <f>iferror(average('Revenue Growth YoY'!M82:M85),"")</f>
        <v/>
      </c>
      <c r="N85" s="14">
        <f>iferror(average('Revenue Growth YoY'!N82:N85),"")</f>
        <v>0.2910099267</v>
      </c>
      <c r="O85" s="14">
        <f>iferror(average('Revenue Growth YoY'!O82:O85),"")</f>
        <v>0.9245165797</v>
      </c>
      <c r="P85" s="14" t="str">
        <f>iferror(average('Revenue Growth YoY'!P82:P85),"")</f>
        <v/>
      </c>
      <c r="Q85" s="14" t="str">
        <f>iferror(average('Revenue Growth YoY'!Q82:Q85),"")</f>
        <v/>
      </c>
      <c r="R85" s="14"/>
      <c r="S85" s="14">
        <f>iferror(average('Revenue Growth YoY'!S82:S85),"")</f>
        <v>0.09802814985</v>
      </c>
      <c r="T85" s="14"/>
      <c r="U85" s="14" t="str">
        <f>iferror(average('Revenue Growth YoY'!U82:U85),"")</f>
        <v/>
      </c>
      <c r="V85" s="14" t="str">
        <f>iferror(average('Revenue Growth YoY'!V82:V85),"")</f>
        <v/>
      </c>
      <c r="W85" s="14" t="str">
        <f>iferror(average('Revenue Growth YoY'!W82:W85),"")</f>
        <v/>
      </c>
      <c r="X85" s="14">
        <f>iferror(average('Revenue Growth YoY'!X82:X85),"")</f>
        <v>0.04555375522</v>
      </c>
      <c r="Y85" s="14">
        <f>iferror(average('Revenue Growth YoY'!Y82:Y85),"")</f>
        <v>0.4132229623</v>
      </c>
      <c r="Z85" s="14">
        <f>iferror(average('Revenue Growth YoY'!Z82:Z85),"")</f>
        <v>0.3566158469</v>
      </c>
      <c r="AA85" s="14">
        <f>iferror(average('Revenue Growth YoY'!AA82:AA85),"")</f>
        <v>1.910188546</v>
      </c>
      <c r="AB85" s="14" t="str">
        <f>iferror(average('Revenue Growth YoY'!AB82:AB85),"")</f>
        <v/>
      </c>
      <c r="AC85" s="14">
        <f>iferror(average('Revenue Growth YoY'!AC82:AC85),"")</f>
        <v>0.5877669646</v>
      </c>
      <c r="AD85" s="12"/>
    </row>
    <row r="86">
      <c r="A86" s="15" t="s">
        <v>113</v>
      </c>
      <c r="B86" s="14">
        <f>iferror(average('Revenue Growth YoY'!B83:B86),"")</f>
        <v>0.5473291471</v>
      </c>
      <c r="C86" s="14">
        <f>iferror(average('Revenue Growth YoY'!C83:C86),"")</f>
        <v>0.1761895835</v>
      </c>
      <c r="D86" s="14">
        <f>iferror(average('Revenue Growth YoY'!D83:D86),"")</f>
        <v>0.1461066174</v>
      </c>
      <c r="E86" s="14">
        <f>iferror(average('Revenue Growth YoY'!E83:E86),"")</f>
        <v>0.3577955183</v>
      </c>
      <c r="F86" s="14">
        <f>iferror(average('Revenue Growth YoY'!F83:F86),"")</f>
        <v>0.04994882201</v>
      </c>
      <c r="G86" s="14">
        <f>iferror(average('Revenue Growth YoY'!G83:G86),"")</f>
        <v>0.3963492796</v>
      </c>
      <c r="H86" s="14">
        <f>iferror(average('Revenue Growth YoY'!H83:H86),"")</f>
        <v>0.04526905752</v>
      </c>
      <c r="I86" s="14">
        <f>iferror(average('Revenue Growth YoY'!I83:I86),"")</f>
        <v>0.2749836111</v>
      </c>
      <c r="J86" s="14">
        <f>iferror(average('Revenue Growth YoY'!J83:J86),"")</f>
        <v>0.5489691399</v>
      </c>
      <c r="K86" s="14" t="str">
        <f>iferror(average('Revenue Growth YoY'!K83:K86),"")</f>
        <v/>
      </c>
      <c r="L86" s="14">
        <f>iferror(average('Revenue Growth YoY'!L83:L86),"")</f>
        <v>-0.001949626737</v>
      </c>
      <c r="M86" s="14" t="str">
        <f>iferror(average('Revenue Growth YoY'!M83:M86),"")</f>
        <v/>
      </c>
      <c r="N86" s="14">
        <f>iferror(average('Revenue Growth YoY'!N83:N86),"")</f>
        <v>0.3238535521</v>
      </c>
      <c r="O86" s="14">
        <f>iferror(average('Revenue Growth YoY'!O83:O86),"")</f>
        <v>1.462826263</v>
      </c>
      <c r="P86" s="14" t="str">
        <f>iferror(average('Revenue Growth YoY'!P83:P86),"")</f>
        <v/>
      </c>
      <c r="Q86" s="14" t="str">
        <f>iferror(average('Revenue Growth YoY'!Q83:Q86),"")</f>
        <v/>
      </c>
      <c r="R86" s="14"/>
      <c r="S86" s="14">
        <f>iferror(average('Revenue Growth YoY'!S83:S86),"")</f>
        <v>0.1259893646</v>
      </c>
      <c r="T86" s="14"/>
      <c r="U86" s="14" t="str">
        <f>iferror(average('Revenue Growth YoY'!U83:U86),"")</f>
        <v/>
      </c>
      <c r="V86" s="14" t="str">
        <f>iferror(average('Revenue Growth YoY'!V83:V86),"")</f>
        <v/>
      </c>
      <c r="W86" s="14" t="str">
        <f>iferror(average('Revenue Growth YoY'!W83:W86),"")</f>
        <v/>
      </c>
      <c r="X86" s="14">
        <f>iferror(average('Revenue Growth YoY'!X83:X86),"")</f>
        <v>0.05092000176</v>
      </c>
      <c r="Y86" s="14">
        <f>iferror(average('Revenue Growth YoY'!Y83:Y86),"")</f>
        <v>0.4857800511</v>
      </c>
      <c r="Z86" s="14">
        <f>iferror(average('Revenue Growth YoY'!Z83:Z86),"")</f>
        <v>0.3364629705</v>
      </c>
      <c r="AA86" s="14">
        <f>iferror(average('Revenue Growth YoY'!AA83:AA86),"")</f>
        <v>1.617902589</v>
      </c>
      <c r="AB86" s="14" t="str">
        <f>iferror(average('Revenue Growth YoY'!AB83:AB86),"")</f>
        <v/>
      </c>
      <c r="AC86" s="14">
        <f>iferror(average('Revenue Growth YoY'!AC83:AC86),"")</f>
        <v>0.5877669646</v>
      </c>
      <c r="AD86" s="12"/>
    </row>
    <row r="87">
      <c r="A87" s="15" t="s">
        <v>114</v>
      </c>
      <c r="B87" s="14">
        <f>iferror(average('Revenue Growth YoY'!B84:B87),"")</f>
        <v>0.5168964253</v>
      </c>
      <c r="C87" s="14">
        <f>iferror(average('Revenue Growth YoY'!C84:C87),"")</f>
        <v>0.1971762163</v>
      </c>
      <c r="D87" s="14">
        <f>iferror(average('Revenue Growth YoY'!D84:D87),"")</f>
        <v>0.1451175597</v>
      </c>
      <c r="E87" s="14">
        <f>iferror(average('Revenue Growth YoY'!E84:E87),"")</f>
        <v>0.3339323345</v>
      </c>
      <c r="F87" s="14">
        <f>iferror(average('Revenue Growth YoY'!F84:F87),"")</f>
        <v>0.03977653462</v>
      </c>
      <c r="G87" s="14">
        <f>iferror(average('Revenue Growth YoY'!G84:G87),"")</f>
        <v>0.2188472458</v>
      </c>
      <c r="H87" s="14">
        <f>iferror(average('Revenue Growth YoY'!H84:H87),"")</f>
        <v>0.09516806521</v>
      </c>
      <c r="I87" s="14">
        <f>iferror(average('Revenue Growth YoY'!I84:I87),"")</f>
        <v>0.2432272517</v>
      </c>
      <c r="J87" s="14">
        <f>iferror(average('Revenue Growth YoY'!J84:J87),"")</f>
        <v>0.5366384141</v>
      </c>
      <c r="K87" s="14" t="str">
        <f>iferror(average('Revenue Growth YoY'!K84:K87),"")</f>
        <v/>
      </c>
      <c r="L87" s="14">
        <f>iferror(average('Revenue Growth YoY'!L84:L87),"")</f>
        <v>0.03327515822</v>
      </c>
      <c r="M87" s="14" t="str">
        <f>iferror(average('Revenue Growth YoY'!M84:M87),"")</f>
        <v/>
      </c>
      <c r="N87" s="14">
        <f>iferror(average('Revenue Growth YoY'!N84:N87),"")</f>
        <v>0.387439847</v>
      </c>
      <c r="O87" s="14">
        <f>iferror(average('Revenue Growth YoY'!O84:O87),"")</f>
        <v>2.001135946</v>
      </c>
      <c r="P87" s="14" t="str">
        <f>iferror(average('Revenue Growth YoY'!P84:P87),"")</f>
        <v/>
      </c>
      <c r="Q87" s="14" t="str">
        <f>iferror(average('Revenue Growth YoY'!Q84:Q87),"")</f>
        <v/>
      </c>
      <c r="R87" s="14"/>
      <c r="S87" s="14">
        <f>iferror(average('Revenue Growth YoY'!S84:S87),"")</f>
        <v>0.1127530611</v>
      </c>
      <c r="T87" s="14"/>
      <c r="U87" s="14" t="str">
        <f>iferror(average('Revenue Growth YoY'!U84:U87),"")</f>
        <v/>
      </c>
      <c r="V87" s="14" t="str">
        <f>iferror(average('Revenue Growth YoY'!V84:V87),"")</f>
        <v/>
      </c>
      <c r="W87" s="14" t="str">
        <f>iferror(average('Revenue Growth YoY'!W84:W87),"")</f>
        <v/>
      </c>
      <c r="X87" s="14">
        <f>iferror(average('Revenue Growth YoY'!X84:X87),"")</f>
        <v>0.0562862483</v>
      </c>
      <c r="Y87" s="14">
        <f>iferror(average('Revenue Growth YoY'!Y84:Y87),"")</f>
        <v>0.4010833312</v>
      </c>
      <c r="Z87" s="14">
        <f>iferror(average('Revenue Growth YoY'!Z84:Z87),"")</f>
        <v>0.3352011119</v>
      </c>
      <c r="AA87" s="14">
        <f>iferror(average('Revenue Growth YoY'!AA84:AA87),"")</f>
        <v>1.322234044</v>
      </c>
      <c r="AB87" s="14">
        <f>iferror(average('Revenue Growth YoY'!AB84:AB87),"")</f>
        <v>-0.03388145632</v>
      </c>
      <c r="AC87" s="14">
        <f>iferror(average('Revenue Growth YoY'!AC84:AC87),"")</f>
        <v>0.6324827895</v>
      </c>
      <c r="AD87" s="12"/>
    </row>
    <row r="88">
      <c r="A88" s="15" t="s">
        <v>115</v>
      </c>
      <c r="B88" s="14">
        <f>iferror(average('Revenue Growth YoY'!B85:B88),"")</f>
        <v>0.4864637035</v>
      </c>
      <c r="C88" s="14">
        <f>iferror(average('Revenue Growth YoY'!C85:C88),"")</f>
        <v>0.1937119171</v>
      </c>
      <c r="D88" s="14">
        <f>iferror(average('Revenue Growth YoY'!D85:D88),"")</f>
        <v>0.1291409264</v>
      </c>
      <c r="E88" s="14">
        <f>iferror(average('Revenue Growth YoY'!E85:E88),"")</f>
        <v>0.2773240093</v>
      </c>
      <c r="F88" s="14">
        <f>iferror(average('Revenue Growth YoY'!F85:F88),"")</f>
        <v>0.02398339415</v>
      </c>
      <c r="G88" s="14">
        <f>iferror(average('Revenue Growth YoY'!G85:G88),"")</f>
        <v>-0.0008983692016</v>
      </c>
      <c r="H88" s="14">
        <f>iferror(average('Revenue Growth YoY'!H85:H88),"")</f>
        <v>0.0605385584</v>
      </c>
      <c r="I88" s="14">
        <f>iferror(average('Revenue Growth YoY'!I85:I88),"")</f>
        <v>0.1914412006</v>
      </c>
      <c r="J88" s="14">
        <f>iferror(average('Revenue Growth YoY'!J85:J88),"")</f>
        <v>0.3186955981</v>
      </c>
      <c r="K88" s="14" t="str">
        <f>iferror(average('Revenue Growth YoY'!K85:K88),"")</f>
        <v/>
      </c>
      <c r="L88" s="14">
        <f>iferror(average('Revenue Growth YoY'!L85:L88),"")</f>
        <v>0.03397214025</v>
      </c>
      <c r="M88" s="14" t="str">
        <f>iferror(average('Revenue Growth YoY'!M85:M88),"")</f>
        <v/>
      </c>
      <c r="N88" s="14">
        <f>iferror(average('Revenue Growth YoY'!N85:N88),"")</f>
        <v>0.4104928995</v>
      </c>
      <c r="O88" s="14">
        <f>iferror(average('Revenue Growth YoY'!O85:O88),"")</f>
        <v>2.539445629</v>
      </c>
      <c r="P88" s="14" t="str">
        <f>iferror(average('Revenue Growth YoY'!P85:P88),"")</f>
        <v/>
      </c>
      <c r="Q88" s="14" t="str">
        <f>iferror(average('Revenue Growth YoY'!Q85:Q88),"")</f>
        <v/>
      </c>
      <c r="R88" s="14"/>
      <c r="S88" s="14">
        <f>iferror(average('Revenue Growth YoY'!S85:S88),"")</f>
        <v>0.09951675757</v>
      </c>
      <c r="T88" s="14">
        <f>iferror(average('Revenue Growth YoY'!T85:T88),"")</f>
        <v>0.6564014705</v>
      </c>
      <c r="U88" s="14" t="str">
        <f>iferror(average('Revenue Growth YoY'!U85:U88),"")</f>
        <v/>
      </c>
      <c r="V88" s="14" t="str">
        <f>iferror(average('Revenue Growth YoY'!V85:V88),"")</f>
        <v/>
      </c>
      <c r="W88" s="14" t="str">
        <f>iferror(average('Revenue Growth YoY'!W85:W88),"")</f>
        <v/>
      </c>
      <c r="X88" s="14">
        <f>iferror(average('Revenue Growth YoY'!X85:X88),"")</f>
        <v>0.06165249484</v>
      </c>
      <c r="Y88" s="14">
        <f>iferror(average('Revenue Growth YoY'!Y85:Y88),"")</f>
        <v>0.3163866114</v>
      </c>
      <c r="Z88" s="14">
        <f>iferror(average('Revenue Growth YoY'!Z85:Z88),"")</f>
        <v>0.3339392533</v>
      </c>
      <c r="AA88" s="14">
        <f>iferror(average('Revenue Growth YoY'!AA85:AA88),"")</f>
        <v>1.026565498</v>
      </c>
      <c r="AB88" s="14">
        <f>iferror(average('Revenue Growth YoY'!AB85:AB88),"")</f>
        <v>-0.03388145632</v>
      </c>
      <c r="AC88" s="14">
        <f>iferror(average('Revenue Growth YoY'!AC85:AC88),"")</f>
        <v>0.6771986145</v>
      </c>
      <c r="AD88" s="12"/>
    </row>
    <row r="89">
      <c r="A89" s="15" t="s">
        <v>116</v>
      </c>
      <c r="B89" s="14">
        <f>iferror(average('Revenue Growth YoY'!B86:B89),"")</f>
        <v>0.4560309817</v>
      </c>
      <c r="C89" s="14">
        <f>iferror(average('Revenue Growth YoY'!C86:C89),"")</f>
        <v>0.1667868611</v>
      </c>
      <c r="D89" s="14">
        <f>iferror(average('Revenue Growth YoY'!D86:D89),"")</f>
        <v>0.1179786463</v>
      </c>
      <c r="E89" s="14">
        <f>iferror(average('Revenue Growth YoY'!E86:E89),"")</f>
        <v>0.2115124806</v>
      </c>
      <c r="F89" s="14">
        <f>iferror(average('Revenue Growth YoY'!F86:F89),"")</f>
        <v>0.0241146036</v>
      </c>
      <c r="G89" s="14">
        <f>iferror(average('Revenue Growth YoY'!G86:G89),"")</f>
        <v>-0.07194355578</v>
      </c>
      <c r="H89" s="14">
        <f>iferror(average('Revenue Growth YoY'!H86:H89),"")</f>
        <v>0.0444875087</v>
      </c>
      <c r="I89" s="14">
        <f>iferror(average('Revenue Growth YoY'!I86:I89),"")</f>
        <v>0.1119388742</v>
      </c>
      <c r="J89" s="14">
        <f>iferror(average('Revenue Growth YoY'!J86:J89),"")</f>
        <v>0.02748986622</v>
      </c>
      <c r="K89" s="14" t="str">
        <f>iferror(average('Revenue Growth YoY'!K86:K89),"")</f>
        <v/>
      </c>
      <c r="L89" s="14">
        <f>iferror(average('Revenue Growth YoY'!L86:L89),"")</f>
        <v>0.05170833952</v>
      </c>
      <c r="M89" s="14" t="str">
        <f>iferror(average('Revenue Growth YoY'!M86:M89),"")</f>
        <v/>
      </c>
      <c r="N89" s="14">
        <f>iferror(average('Revenue Growth YoY'!N86:N89),"")</f>
        <v>0.4877466322</v>
      </c>
      <c r="O89" s="14">
        <f>iferror(average('Revenue Growth YoY'!O86:O89),"")</f>
        <v>1.756114236</v>
      </c>
      <c r="P89" s="14" t="str">
        <f>iferror(average('Revenue Growth YoY'!P86:P89),"")</f>
        <v/>
      </c>
      <c r="Q89" s="14" t="str">
        <f>iferror(average('Revenue Growth YoY'!Q86:Q89),"")</f>
        <v/>
      </c>
      <c r="R89" s="14"/>
      <c r="S89" s="14">
        <f>iferror(average('Revenue Growth YoY'!S86:S89),"")</f>
        <v>0.08628045407</v>
      </c>
      <c r="T89" s="14">
        <f>iferror(average('Revenue Growth YoY'!T86:T89),"")</f>
        <v>0.3486730578</v>
      </c>
      <c r="U89" s="14" t="str">
        <f>iferror(average('Revenue Growth YoY'!U86:U89),"")</f>
        <v/>
      </c>
      <c r="V89" s="14" t="str">
        <f>iferror(average('Revenue Growth YoY'!V86:V89),"")</f>
        <v/>
      </c>
      <c r="W89" s="14" t="str">
        <f>iferror(average('Revenue Growth YoY'!W86:W89),"")</f>
        <v/>
      </c>
      <c r="X89" s="14">
        <f>iferror(average('Revenue Growth YoY'!X86:X89),"")</f>
        <v>0.04246201676</v>
      </c>
      <c r="Y89" s="14">
        <f>iferror(average('Revenue Growth YoY'!Y86:Y89),"")</f>
        <v>0.2316898915</v>
      </c>
      <c r="Z89" s="14">
        <f>iferror(average('Revenue Growth YoY'!Z86:Z89),"")</f>
        <v>0.3326773947</v>
      </c>
      <c r="AA89" s="14">
        <f>iferror(average('Revenue Growth YoY'!AA86:AA89),"")</f>
        <v>0.730896953</v>
      </c>
      <c r="AB89" s="14">
        <f>iferror(average('Revenue Growth YoY'!AB86:AB89),"")</f>
        <v>-0.03388145632</v>
      </c>
      <c r="AC89" s="14">
        <f>iferror(average('Revenue Growth YoY'!AC86:AC89),"")</f>
        <v>0.7219144395</v>
      </c>
      <c r="AD89" s="12"/>
    </row>
    <row r="90">
      <c r="A90" s="15" t="s">
        <v>117</v>
      </c>
      <c r="B90" s="14">
        <f>iferror(average('Revenue Growth YoY'!B87:B90),"")</f>
        <v>0.4255982599</v>
      </c>
      <c r="C90" s="14">
        <f>iferror(average('Revenue Growth YoY'!C87:C90),"")</f>
        <v>0.1549093384</v>
      </c>
      <c r="D90" s="14">
        <f>iferror(average('Revenue Growth YoY'!D87:D90),"")</f>
        <v>0.1168571231</v>
      </c>
      <c r="E90" s="14">
        <f>iferror(average('Revenue Growth YoY'!E87:E90),"")</f>
        <v>0.1595124752</v>
      </c>
      <c r="F90" s="14">
        <f>iferror(average('Revenue Growth YoY'!F87:F90),"")</f>
        <v>0.03962931238</v>
      </c>
      <c r="G90" s="14">
        <f>iferror(average('Revenue Growth YoY'!G87:G90),"")</f>
        <v>-0.110830938</v>
      </c>
      <c r="H90" s="14">
        <f>iferror(average('Revenue Growth YoY'!H87:H90),"")</f>
        <v>0.05385038116</v>
      </c>
      <c r="I90" s="14">
        <f>iferror(average('Revenue Growth YoY'!I87:I90),"")</f>
        <v>0.01763296625</v>
      </c>
      <c r="J90" s="14">
        <f>iferror(average('Revenue Growth YoY'!J87:J90),"")</f>
        <v>-0.1421577155</v>
      </c>
      <c r="K90" s="14" t="str">
        <f>iferror(average('Revenue Growth YoY'!K87:K90),"")</f>
        <v/>
      </c>
      <c r="L90" s="14">
        <f>iferror(average('Revenue Growth YoY'!L87:L90),"")</f>
        <v>-0.06734953644</v>
      </c>
      <c r="M90" s="14" t="str">
        <f>iferror(average('Revenue Growth YoY'!M87:M90),"")</f>
        <v/>
      </c>
      <c r="N90" s="14">
        <f>iferror(average('Revenue Growth YoY'!N87:N90),"")</f>
        <v>0.6042682125</v>
      </c>
      <c r="O90" s="14">
        <f>iferror(average('Revenue Growth YoY'!O87:O90),"")</f>
        <v>0.9727828422</v>
      </c>
      <c r="P90" s="14" t="str">
        <f>iferror(average('Revenue Growth YoY'!P87:P90),"")</f>
        <v/>
      </c>
      <c r="Q90" s="14" t="str">
        <f>iferror(average('Revenue Growth YoY'!Q87:Q90),"")</f>
        <v/>
      </c>
      <c r="R90" s="14"/>
      <c r="S90" s="14">
        <f>iferror(average('Revenue Growth YoY'!S87:S90),"")</f>
        <v>0.07304415057</v>
      </c>
      <c r="T90" s="14">
        <f>iferror(average('Revenue Growth YoY'!T87:T90),"")</f>
        <v>0.04094464503</v>
      </c>
      <c r="U90" s="14" t="str">
        <f>iferror(average('Revenue Growth YoY'!U87:U90),"")</f>
        <v/>
      </c>
      <c r="V90" s="14" t="str">
        <f>iferror(average('Revenue Growth YoY'!V87:V90),"")</f>
        <v/>
      </c>
      <c r="W90" s="14" t="str">
        <f>iferror(average('Revenue Growth YoY'!W87:W90),"")</f>
        <v/>
      </c>
      <c r="X90" s="14">
        <f>iferror(average('Revenue Growth YoY'!X87:X90),"")</f>
        <v>0.02327153867</v>
      </c>
      <c r="Y90" s="14">
        <f>iferror(average('Revenue Growth YoY'!Y87:Y90),"")</f>
        <v>0.1469931716</v>
      </c>
      <c r="Z90" s="14">
        <f>iferror(average('Revenue Growth YoY'!Z87:Z90),"")</f>
        <v>0.3314155362</v>
      </c>
      <c r="AA90" s="14">
        <f>iferror(average('Revenue Growth YoY'!AA87:AA90),"")</f>
        <v>0.4352284075</v>
      </c>
      <c r="AB90" s="14">
        <f>iferror(average('Revenue Growth YoY'!AB87:AB90),"")</f>
        <v>-0.03388145632</v>
      </c>
      <c r="AC90" s="14">
        <f>iferror(average('Revenue Growth YoY'!AC87:AC90),"")</f>
        <v>0.7666302645</v>
      </c>
      <c r="AD90" s="12"/>
    </row>
    <row r="91">
      <c r="A91" s="15" t="s">
        <v>118</v>
      </c>
      <c r="B91" s="14">
        <f>iferror(average('Revenue Growth YoY'!B88:B91),"")</f>
        <v>0.2989367689</v>
      </c>
      <c r="C91" s="14">
        <f>iferror(average('Revenue Growth YoY'!C88:C91),"")</f>
        <v>0.09454828065</v>
      </c>
      <c r="D91" s="14">
        <f>iferror(average('Revenue Growth YoY'!D88:D91),"")</f>
        <v>0.09049274539</v>
      </c>
      <c r="E91" s="14">
        <f>iferror(average('Revenue Growth YoY'!E88:E91),"")</f>
        <v>0.1389685018</v>
      </c>
      <c r="F91" s="14">
        <f>iferror(average('Revenue Growth YoY'!F88:F91),"")</f>
        <v>0.03427430299</v>
      </c>
      <c r="G91" s="14">
        <f>iferror(average('Revenue Growth YoY'!G88:G91),"")</f>
        <v>-0.1516810128</v>
      </c>
      <c r="H91" s="14">
        <f>iferror(average('Revenue Growth YoY'!H88:H91),"")</f>
        <v>0.02735040284</v>
      </c>
      <c r="I91" s="14">
        <f>iferror(average('Revenue Growth YoY'!I88:I91),"")</f>
        <v>-0.05562157857</v>
      </c>
      <c r="J91" s="14">
        <f>iferror(average('Revenue Growth YoY'!J88:J91),"")</f>
        <v>-0.280442583</v>
      </c>
      <c r="K91" s="14" t="str">
        <f>iferror(average('Revenue Growth YoY'!K88:K91),"")</f>
        <v/>
      </c>
      <c r="L91" s="14">
        <f>iferror(average('Revenue Growth YoY'!L88:L91),"")</f>
        <v>-0.1685685305</v>
      </c>
      <c r="M91" s="14" t="str">
        <f>iferror(average('Revenue Growth YoY'!M88:M91),"")</f>
        <v/>
      </c>
      <c r="N91" s="14">
        <f>iferror(average('Revenue Growth YoY'!N88:N91),"")</f>
        <v>0.6036749955</v>
      </c>
      <c r="O91" s="14">
        <f>iferror(average('Revenue Growth YoY'!O88:O91),"")</f>
        <v>0.1985764444</v>
      </c>
      <c r="P91" s="14" t="str">
        <f>iferror(average('Revenue Growth YoY'!P88:P91),"")</f>
        <v/>
      </c>
      <c r="Q91" s="14" t="str">
        <f>iferror(average('Revenue Growth YoY'!Q88:Q91),"")</f>
        <v/>
      </c>
      <c r="R91" s="14"/>
      <c r="S91" s="14">
        <f>iferror(average('Revenue Growth YoY'!S88:S91),"")</f>
        <v>0.09908583683</v>
      </c>
      <c r="T91" s="14">
        <f>iferror(average('Revenue Growth YoY'!T88:T91),"")</f>
        <v>-0.2667837677</v>
      </c>
      <c r="U91" s="14" t="str">
        <f>iferror(average('Revenue Growth YoY'!U88:U91),"")</f>
        <v/>
      </c>
      <c r="V91" s="14" t="str">
        <f>iferror(average('Revenue Growth YoY'!V88:V91),"")</f>
        <v/>
      </c>
      <c r="W91" s="14" t="str">
        <f>iferror(average('Revenue Growth YoY'!W88:W91),"")</f>
        <v/>
      </c>
      <c r="X91" s="14">
        <f>iferror(average('Revenue Growth YoY'!X88:X91),"")</f>
        <v>0.004081060593</v>
      </c>
      <c r="Y91" s="14">
        <f>iferror(average('Revenue Growth YoY'!Y88:Y91),"")</f>
        <v>0.1679603735</v>
      </c>
      <c r="Z91" s="14">
        <f>iferror(average('Revenue Growth YoY'!Z88:Z91),"")</f>
        <v>0.3633744734</v>
      </c>
      <c r="AA91" s="14">
        <f>iferror(average('Revenue Growth YoY'!AA88:AA91),"")</f>
        <v>0.3651999365</v>
      </c>
      <c r="AB91" s="14">
        <f>iferror(average('Revenue Growth YoY'!AB88:AB91),"")</f>
        <v>-0.05559865923</v>
      </c>
      <c r="AC91" s="14">
        <f>iferror(average('Revenue Growth YoY'!AC88:AC91),"")</f>
        <v>0.641253237</v>
      </c>
      <c r="AD91" s="12"/>
    </row>
    <row r="92">
      <c r="A92" s="15" t="s">
        <v>119</v>
      </c>
      <c r="B92" s="14">
        <f>iferror(average('Revenue Growth YoY'!B89:B92),"")</f>
        <v>0.2749591607</v>
      </c>
      <c r="C92" s="14">
        <f>iferror(average('Revenue Growth YoY'!C89:C92),"")</f>
        <v>0.07429958659</v>
      </c>
      <c r="D92" s="14">
        <f>iferror(average('Revenue Growth YoY'!D89:D92),"")</f>
        <v>0.08576838827</v>
      </c>
      <c r="E92" s="14">
        <f>iferror(average('Revenue Growth YoY'!E89:E92),"")</f>
        <v>0.1321052359</v>
      </c>
      <c r="F92" s="14">
        <f>iferror(average('Revenue Growth YoY'!F89:F92),"")</f>
        <v>0.02261665996</v>
      </c>
      <c r="G92" s="14">
        <f>iferror(average('Revenue Growth YoY'!G89:G92),"")</f>
        <v>-0.1106260528</v>
      </c>
      <c r="H92" s="14">
        <f>iferror(average('Revenue Growth YoY'!H89:H92),"")</f>
        <v>0.04016615321</v>
      </c>
      <c r="I92" s="14">
        <f>iferror(average('Revenue Growth YoY'!I89:I92),"")</f>
        <v>-0.09305771798</v>
      </c>
      <c r="J92" s="14">
        <f>iferror(average('Revenue Growth YoY'!J89:J92),"")</f>
        <v>-0.2014372587</v>
      </c>
      <c r="K92" s="14" t="str">
        <f>iferror(average('Revenue Growth YoY'!K89:K92),"")</f>
        <v/>
      </c>
      <c r="L92" s="14">
        <f>iferror(average('Revenue Growth YoY'!L89:L92),"")</f>
        <v>-0.2393129296</v>
      </c>
      <c r="M92" s="14" t="str">
        <f>iferror(average('Revenue Growth YoY'!M89:M92),"")</f>
        <v/>
      </c>
      <c r="N92" s="14">
        <f>iferror(average('Revenue Growth YoY'!N89:N92),"")</f>
        <v>0.6700145659</v>
      </c>
      <c r="O92" s="14">
        <f>iferror(average('Revenue Growth YoY'!O89:O92),"")</f>
        <v>-0.5756299534</v>
      </c>
      <c r="P92" s="14" t="str">
        <f>iferror(average('Revenue Growth YoY'!P89:P92),"")</f>
        <v/>
      </c>
      <c r="Q92" s="14" t="str">
        <f>iferror(average('Revenue Growth YoY'!Q89:Q92),"")</f>
        <v/>
      </c>
      <c r="R92" s="14"/>
      <c r="S92" s="14">
        <f>iferror(average('Revenue Growth YoY'!S89:S92),"")</f>
        <v>0.1251275231</v>
      </c>
      <c r="T92" s="14">
        <f>iferror(average('Revenue Growth YoY'!T89:T92),"")</f>
        <v>-0.2510830698</v>
      </c>
      <c r="U92" s="14" t="str">
        <f>iferror(average('Revenue Growth YoY'!U89:U92),"")</f>
        <v/>
      </c>
      <c r="V92" s="14" t="str">
        <f>iferror(average('Revenue Growth YoY'!V89:V92),"")</f>
        <v/>
      </c>
      <c r="W92" s="14" t="str">
        <f>iferror(average('Revenue Growth YoY'!W89:W92),"")</f>
        <v/>
      </c>
      <c r="X92" s="14">
        <f>iferror(average('Revenue Growth YoY'!X89:X92),"")</f>
        <v>-0.01510941749</v>
      </c>
      <c r="Y92" s="14">
        <f>iferror(average('Revenue Growth YoY'!Y89:Y92),"")</f>
        <v>0.1889275754</v>
      </c>
      <c r="Z92" s="14">
        <f>iferror(average('Revenue Growth YoY'!Z89:Z92),"")</f>
        <v>0.3953334106</v>
      </c>
      <c r="AA92" s="14">
        <f>iferror(average('Revenue Growth YoY'!AA89:AA92),"")</f>
        <v>0.2951714656</v>
      </c>
      <c r="AB92" s="14">
        <f>iferror(average('Revenue Growth YoY'!AB89:AB92),"")</f>
        <v>-0.07731586214</v>
      </c>
      <c r="AC92" s="14">
        <f>iferror(average('Revenue Growth YoY'!AC89:AC92),"")</f>
        <v>0.5158762095</v>
      </c>
      <c r="AD92" s="12"/>
    </row>
    <row r="93">
      <c r="A93" s="15" t="s">
        <v>120</v>
      </c>
      <c r="B93" s="14">
        <f>iferror(average('Revenue Growth YoY'!B90:B93),"")</f>
        <v>0.3692733857</v>
      </c>
      <c r="C93" s="14">
        <f>iferror(average('Revenue Growth YoY'!C90:C93),"")</f>
        <v>0.06074013169</v>
      </c>
      <c r="D93" s="14">
        <f>iferror(average('Revenue Growth YoY'!D90:D93),"")</f>
        <v>0.0811590675</v>
      </c>
      <c r="E93" s="14">
        <f>iferror(average('Revenue Growth YoY'!E90:E93),"")</f>
        <v>0.114609661</v>
      </c>
      <c r="F93" s="14">
        <f>iferror(average('Revenue Growth YoY'!F90:F93),"")</f>
        <v>-0.004578931451</v>
      </c>
      <c r="G93" s="14">
        <f>iferror(average('Revenue Growth YoY'!G90:G93),"")</f>
        <v>-0.08406614514</v>
      </c>
      <c r="H93" s="14">
        <f>iferror(average('Revenue Growth YoY'!H90:H93),"")</f>
        <v>0.04579828309</v>
      </c>
      <c r="I93" s="14">
        <f>iferror(average('Revenue Growth YoY'!I90:I93),"")</f>
        <v>-0.0514497467</v>
      </c>
      <c r="J93" s="14">
        <f>iferror(average('Revenue Growth YoY'!J90:J93),"")</f>
        <v>-0.08620435583</v>
      </c>
      <c r="K93" s="14" t="str">
        <f>iferror(average('Revenue Growth YoY'!K90:K93),"")</f>
        <v/>
      </c>
      <c r="L93" s="14">
        <f>iferror(average('Revenue Growth YoY'!L90:L93),"")</f>
        <v>-0.3129831441</v>
      </c>
      <c r="M93" s="14" t="str">
        <f>iferror(average('Revenue Growth YoY'!M90:M93),"")</f>
        <v/>
      </c>
      <c r="N93" s="14">
        <f>iferror(average('Revenue Growth YoY'!N90:N93),"")</f>
        <v>0.6710799431</v>
      </c>
      <c r="O93" s="14">
        <f>iferror(average('Revenue Growth YoY'!O90:O93),"")</f>
        <v>-0.3668641766</v>
      </c>
      <c r="P93" s="14" t="str">
        <f>iferror(average('Revenue Growth YoY'!P90:P93),"")</f>
        <v/>
      </c>
      <c r="Q93" s="14" t="str">
        <f>iferror(average('Revenue Growth YoY'!Q90:Q93),"")</f>
        <v/>
      </c>
      <c r="R93" s="14"/>
      <c r="S93" s="14">
        <f>iferror(average('Revenue Growth YoY'!S90:S93),"")</f>
        <v>0.1511692093</v>
      </c>
      <c r="T93" s="14">
        <f>iferror(average('Revenue Growth YoY'!T90:T93),"")</f>
        <v>-0.2353823718</v>
      </c>
      <c r="U93" s="14" t="str">
        <f>iferror(average('Revenue Growth YoY'!U90:U93),"")</f>
        <v/>
      </c>
      <c r="V93" s="14" t="str">
        <f>iferror(average('Revenue Growth YoY'!V90:V93),"")</f>
        <v/>
      </c>
      <c r="W93" s="14" t="str">
        <f>iferror(average('Revenue Growth YoY'!W90:W93),"")</f>
        <v/>
      </c>
      <c r="X93" s="14">
        <f>iferror(average('Revenue Growth YoY'!X90:X93),"")</f>
        <v>-0.09665312892</v>
      </c>
      <c r="Y93" s="14">
        <f>iferror(average('Revenue Growth YoY'!Y90:Y93),"")</f>
        <v>0.2098947772</v>
      </c>
      <c r="Z93" s="14">
        <f>iferror(average('Revenue Growth YoY'!Z90:Z93),"")</f>
        <v>0.4272923478</v>
      </c>
      <c r="AA93" s="14">
        <f>iferror(average('Revenue Growth YoY'!AA90:AA93),"")</f>
        <v>0.2251429946</v>
      </c>
      <c r="AB93" s="14">
        <f>iferror(average('Revenue Growth YoY'!AB90:AB93),"")</f>
        <v>-0.09903306505</v>
      </c>
      <c r="AC93" s="14">
        <f>iferror(average('Revenue Growth YoY'!AC90:AC93),"")</f>
        <v>0.3904991819</v>
      </c>
      <c r="AD93" s="12"/>
    </row>
    <row r="94">
      <c r="A94" s="15" t="s">
        <v>121</v>
      </c>
      <c r="B94" s="14">
        <f>iferror(average('Revenue Growth YoY'!B91:B94),"")</f>
        <v>0.3159966429</v>
      </c>
      <c r="C94" s="14">
        <f>iferror(average('Revenue Growth YoY'!C91:C94),"")</f>
        <v>0.03397609036</v>
      </c>
      <c r="D94" s="14">
        <f>iferror(average('Revenue Growth YoY'!D91:D94),"")</f>
        <v>0.07365239571</v>
      </c>
      <c r="E94" s="14">
        <f>iferror(average('Revenue Growth YoY'!E91:E94),"")</f>
        <v>0.09616323589</v>
      </c>
      <c r="F94" s="14">
        <f>iferror(average('Revenue Growth YoY'!F91:F94),"")</f>
        <v>-0.03199731331</v>
      </c>
      <c r="G94" s="14">
        <f>iferror(average('Revenue Growth YoY'!G91:G94),"")</f>
        <v>-0.08063920366</v>
      </c>
      <c r="H94" s="14">
        <f>iferror(average('Revenue Growth YoY'!H91:H94),"")</f>
        <v>0.08439458179</v>
      </c>
      <c r="I94" s="14">
        <f>iferror(average('Revenue Growth YoY'!I91:I94),"")</f>
        <v>-0.006807053231</v>
      </c>
      <c r="J94" s="14">
        <f>iferror(average('Revenue Growth YoY'!J91:J94),"")</f>
        <v>0.02709365365</v>
      </c>
      <c r="K94" s="14" t="str">
        <f>iferror(average('Revenue Growth YoY'!K91:K94),"")</f>
        <v/>
      </c>
      <c r="L94" s="14">
        <f>iferror(average('Revenue Growth YoY'!L91:L94),"")</f>
        <v>-0.3468186832</v>
      </c>
      <c r="M94" s="14" t="str">
        <f>iferror(average('Revenue Growth YoY'!M91:M94),"")</f>
        <v/>
      </c>
      <c r="N94" s="14">
        <f>iferror(average('Revenue Growth YoY'!N91:N94),"")</f>
        <v>0.5414441398</v>
      </c>
      <c r="O94" s="14">
        <f>iferror(average('Revenue Growth YoY'!O91:O94),"")</f>
        <v>-0.1580983998</v>
      </c>
      <c r="P94" s="14" t="str">
        <f>iferror(average('Revenue Growth YoY'!P91:P94),"")</f>
        <v/>
      </c>
      <c r="Q94" s="14" t="str">
        <f>iferror(average('Revenue Growth YoY'!Q91:Q94),"")</f>
        <v/>
      </c>
      <c r="R94" s="14"/>
      <c r="S94" s="14">
        <f>iferror(average('Revenue Growth YoY'!S91:S94),"")</f>
        <v>0.1772108956</v>
      </c>
      <c r="T94" s="14">
        <f>iferror(average('Revenue Growth YoY'!T91:T94),"")</f>
        <v>-0.2196816738</v>
      </c>
      <c r="U94" s="14" t="str">
        <f>iferror(average('Revenue Growth YoY'!U91:U94),"")</f>
        <v/>
      </c>
      <c r="V94" s="14" t="str">
        <f>iferror(average('Revenue Growth YoY'!V91:V94),"")</f>
        <v/>
      </c>
      <c r="W94" s="14" t="str">
        <f>iferror(average('Revenue Growth YoY'!W91:W94),"")</f>
        <v/>
      </c>
      <c r="X94" s="14">
        <f>iferror(average('Revenue Growth YoY'!X91:X94),"")</f>
        <v>-0.1781968404</v>
      </c>
      <c r="Y94" s="14">
        <f>iferror(average('Revenue Growth YoY'!Y91:Y94),"")</f>
        <v>0.2308619791</v>
      </c>
      <c r="Z94" s="14">
        <f>iferror(average('Revenue Growth YoY'!Z91:Z94),"")</f>
        <v>0.459251285</v>
      </c>
      <c r="AA94" s="14">
        <f>iferror(average('Revenue Growth YoY'!AA91:AA94),"")</f>
        <v>0.1551145236</v>
      </c>
      <c r="AB94" s="14">
        <f>iferror(average('Revenue Growth YoY'!AB91:AB94),"")</f>
        <v>-0.120750268</v>
      </c>
      <c r="AC94" s="14">
        <f>iferror(average('Revenue Growth YoY'!AC91:AC94),"")</f>
        <v>0.2651221544</v>
      </c>
      <c r="AD94" s="12"/>
    </row>
    <row r="95">
      <c r="A95" s="15" t="s">
        <v>122</v>
      </c>
      <c r="B95" s="14">
        <f>iferror(average('Revenue Growth YoY'!B92:B95),"")</f>
        <v>0.3371018348</v>
      </c>
      <c r="C95" s="14">
        <f>iferror(average('Revenue Growth YoY'!C92:C95),"")</f>
        <v>-0.006616042445</v>
      </c>
      <c r="D95" s="14">
        <f>iferror(average('Revenue Growth YoY'!D92:D95),"")</f>
        <v>0.02525575099</v>
      </c>
      <c r="E95" s="14">
        <f>iferror(average('Revenue Growth YoY'!E92:E95),"")</f>
        <v>-0.04872723924</v>
      </c>
      <c r="F95" s="14">
        <f>iferror(average('Revenue Growth YoY'!F92:F95),"")</f>
        <v>-0.09583413646</v>
      </c>
      <c r="G95" s="14">
        <f>iferror(average('Revenue Growth YoY'!G92:G95),"")</f>
        <v>-0.1147980833</v>
      </c>
      <c r="H95" s="14">
        <f>iferror(average('Revenue Growth YoY'!H92:H95),"")</f>
        <v>0.005473310607</v>
      </c>
      <c r="I95" s="14">
        <f>iferror(average('Revenue Growth YoY'!I92:I95),"")</f>
        <v>-0.08780324504</v>
      </c>
      <c r="J95" s="14">
        <f>iferror(average('Revenue Growth YoY'!J92:J95),"")</f>
        <v>0.05502189068</v>
      </c>
      <c r="K95" s="14" t="str">
        <f>iferror(average('Revenue Growth YoY'!K92:K95),"")</f>
        <v/>
      </c>
      <c r="L95" s="14">
        <f>iferror(average('Revenue Growth YoY'!L92:L95),"")</f>
        <v>-0.3504936695</v>
      </c>
      <c r="M95" s="14">
        <f>iferror(average('Revenue Growth YoY'!M92:M95),"")</f>
        <v>0.9832214765</v>
      </c>
      <c r="N95" s="14">
        <f>iferror(average('Revenue Growth YoY'!N92:N95),"")</f>
        <v>0.3827912518</v>
      </c>
      <c r="O95" s="14">
        <f>iferror(average('Revenue Growth YoY'!O92:O95),"")</f>
        <v>-0.2052095679</v>
      </c>
      <c r="P95" s="14" t="str">
        <f>iferror(average('Revenue Growth YoY'!P92:P95),"")</f>
        <v/>
      </c>
      <c r="Q95" s="14" t="str">
        <f>iferror(average('Revenue Growth YoY'!Q92:Q95),"")</f>
        <v/>
      </c>
      <c r="R95" s="14"/>
      <c r="S95" s="14">
        <f>iferror(average('Revenue Growth YoY'!S92:S95),"")</f>
        <v>-0.03489293819</v>
      </c>
      <c r="T95" s="14">
        <f>iferror(average('Revenue Growth YoY'!T92:T95),"")</f>
        <v>-0.2039809759</v>
      </c>
      <c r="U95" s="14">
        <f>iferror(average('Revenue Growth YoY'!U92:U95),"")</f>
        <v>-3.6031759</v>
      </c>
      <c r="V95" s="14" t="str">
        <f>iferror(average('Revenue Growth YoY'!V92:V95),"")</f>
        <v/>
      </c>
      <c r="W95" s="14" t="str">
        <f>iferror(average('Revenue Growth YoY'!W92:W95),"")</f>
        <v/>
      </c>
      <c r="X95" s="14">
        <f>iferror(average('Revenue Growth YoY'!X92:X95),"")</f>
        <v>-0.2597405518</v>
      </c>
      <c r="Y95" s="14">
        <f>iferror(average('Revenue Growth YoY'!Y92:Y95),"")</f>
        <v>0.007433492004</v>
      </c>
      <c r="Z95" s="14">
        <f>iferror(average('Revenue Growth YoY'!Z92:Z95),"")</f>
        <v>0.1954442616</v>
      </c>
      <c r="AA95" s="14">
        <f>iferror(average('Revenue Growth YoY'!AA92:AA95),"")</f>
        <v>-0.03745391757</v>
      </c>
      <c r="AB95" s="14">
        <f>iferror(average('Revenue Growth YoY'!AB92:AB95),"")</f>
        <v>-0.2513618818</v>
      </c>
      <c r="AC95" s="14">
        <f>iferror(average('Revenue Growth YoY'!AC92:AC95),"")</f>
        <v>0.1060612864</v>
      </c>
      <c r="AD95" s="12"/>
    </row>
    <row r="96">
      <c r="A96" s="15" t="s">
        <v>123</v>
      </c>
      <c r="B96" s="14">
        <f>iferror(average('Revenue Growth YoY'!B93:B96),"")</f>
        <v>0.073620158</v>
      </c>
      <c r="C96" s="14">
        <f>iferror(average('Revenue Growth YoY'!C93:C96),"")</f>
        <v>-0.237822988</v>
      </c>
      <c r="D96" s="14">
        <f>iferror(average('Revenue Growth YoY'!D93:D96),"")</f>
        <v>-0.2035642716</v>
      </c>
      <c r="E96" s="14">
        <f>iferror(average('Revenue Growth YoY'!E93:E96),"")</f>
        <v>-0.2451765715</v>
      </c>
      <c r="F96" s="14">
        <f>iferror(average('Revenue Growth YoY'!F93:F96),"")</f>
        <v>-0.3045304906</v>
      </c>
      <c r="G96" s="14">
        <f>iferror(average('Revenue Growth YoY'!G93:G96),"")</f>
        <v>-0.3347849718</v>
      </c>
      <c r="H96" s="14">
        <f>iferror(average('Revenue Growth YoY'!H93:H96),"")</f>
        <v>-0.2280138179</v>
      </c>
      <c r="I96" s="14">
        <f>iferror(average('Revenue Growth YoY'!I93:I96),"")</f>
        <v>-0.3314580785</v>
      </c>
      <c r="J96" s="14">
        <f>iferror(average('Revenue Growth YoY'!J93:J96),"")</f>
        <v>-0.1916308111</v>
      </c>
      <c r="K96" s="14" t="str">
        <f>iferror(average('Revenue Growth YoY'!K93:K96),"")</f>
        <v/>
      </c>
      <c r="L96" s="14">
        <f>iferror(average('Revenue Growth YoY'!L93:L96),"")</f>
        <v>-0.4918880373</v>
      </c>
      <c r="M96" s="14">
        <f>iferror(average('Revenue Growth YoY'!M93:M96),"")</f>
        <v>0.0408437912</v>
      </c>
      <c r="N96" s="14">
        <f>iferror(average('Revenue Growth YoY'!N93:N96),"")</f>
        <v>-0.03521550483</v>
      </c>
      <c r="O96" s="14">
        <f>iferror(average('Revenue Growth YoY'!O93:O96),"")</f>
        <v>-0.252320736</v>
      </c>
      <c r="P96" s="14" t="str">
        <f>iferror(average('Revenue Growth YoY'!P93:P96),"")</f>
        <v/>
      </c>
      <c r="Q96" s="14" t="str">
        <f>iferror(average('Revenue Growth YoY'!Q93:Q96),"")</f>
        <v/>
      </c>
      <c r="R96" s="14"/>
      <c r="S96" s="14">
        <f>iferror(average('Revenue Growth YoY'!S93:S96),"")</f>
        <v>-0.246996772</v>
      </c>
      <c r="T96" s="14">
        <f>iferror(average('Revenue Growth YoY'!T93:T96),"")</f>
        <v>-0.1925298788</v>
      </c>
      <c r="U96" s="14">
        <f>iferror(average('Revenue Growth YoY'!U93:U96),"")</f>
        <v>-2.262669461</v>
      </c>
      <c r="V96" s="14" t="str">
        <f>iferror(average('Revenue Growth YoY'!V93:V96),"")</f>
        <v/>
      </c>
      <c r="W96" s="14" t="str">
        <f>iferror(average('Revenue Growth YoY'!W93:W96),"")</f>
        <v/>
      </c>
      <c r="X96" s="14">
        <f>iferror(average('Revenue Growth YoY'!X93:X96),"")</f>
        <v>-0.3412842632</v>
      </c>
      <c r="Y96" s="14">
        <f>iferror(average('Revenue Growth YoY'!Y93:Y96),"")</f>
        <v>-0.2159949951</v>
      </c>
      <c r="Z96" s="14">
        <f>iferror(average('Revenue Growth YoY'!Z93:Z96),"")</f>
        <v>-0.06836276173</v>
      </c>
      <c r="AA96" s="14">
        <f>iferror(average('Revenue Growth YoY'!AA93:AA96),"")</f>
        <v>-0.2300223587</v>
      </c>
      <c r="AB96" s="14">
        <f>iferror(average('Revenue Growth YoY'!AB93:AB96),"")</f>
        <v>-0.3819734956</v>
      </c>
      <c r="AC96" s="14">
        <f>iferror(average('Revenue Growth YoY'!AC93:AC96),"")</f>
        <v>-0.0529995817</v>
      </c>
      <c r="AD96" s="12"/>
    </row>
    <row r="97">
      <c r="A97" s="15" t="s">
        <v>124</v>
      </c>
      <c r="B97" s="14">
        <f>iferror(average('Revenue Growth YoY'!B94:B97),"")</f>
        <v>-0.1732661714</v>
      </c>
      <c r="C97" s="14">
        <f>iferror(average('Revenue Growth YoY'!C94:C97),"")</f>
        <v>-0.3667131755</v>
      </c>
      <c r="D97" s="14">
        <f>iferror(average('Revenue Growth YoY'!D94:D97),"")</f>
        <v>-0.3694070713</v>
      </c>
      <c r="E97" s="14">
        <f>iferror(average('Revenue Growth YoY'!E94:E97),"")</f>
        <v>-0.376636216</v>
      </c>
      <c r="F97" s="14">
        <f>iferror(average('Revenue Growth YoY'!F94:F97),"")</f>
        <v>-0.4499540101</v>
      </c>
      <c r="G97" s="14">
        <f>iferror(average('Revenue Growth YoY'!G94:G97),"")</f>
        <v>-0.5211769262</v>
      </c>
      <c r="H97" s="14">
        <f>iferror(average('Revenue Growth YoY'!H94:H97),"")</f>
        <v>-0.4292449037</v>
      </c>
      <c r="I97" s="14">
        <f>iferror(average('Revenue Growth YoY'!I94:I97),"")</f>
        <v>-0.5814706702</v>
      </c>
      <c r="J97" s="14">
        <f>iferror(average('Revenue Growth YoY'!J94:J97),"")</f>
        <v>-0.4274221212</v>
      </c>
      <c r="K97" s="14" t="str">
        <f>iferror(average('Revenue Growth YoY'!K94:K97),"")</f>
        <v/>
      </c>
      <c r="L97" s="14">
        <f>iferror(average('Revenue Growth YoY'!L94:L97),"")</f>
        <v>-0.6479247172</v>
      </c>
      <c r="M97" s="14">
        <f>iferror(average('Revenue Growth YoY'!M94:M97),"")</f>
        <v>-0.2435209168</v>
      </c>
      <c r="N97" s="14">
        <f>iferror(average('Revenue Growth YoY'!N94:N97),"")</f>
        <v>-0.4004666774</v>
      </c>
      <c r="O97" s="14">
        <f>iferror(average('Revenue Growth YoY'!O94:O97),"")</f>
        <v>-0.5363791298</v>
      </c>
      <c r="P97" s="14" t="str">
        <f>iferror(average('Revenue Growth YoY'!P94:P97),"")</f>
        <v/>
      </c>
      <c r="Q97" s="14" t="str">
        <f>iferror(average('Revenue Growth YoY'!Q94:Q97),"")</f>
        <v/>
      </c>
      <c r="R97" s="14"/>
      <c r="S97" s="14">
        <f>iferror(average('Revenue Growth YoY'!S94:S97),"")</f>
        <v>-0.4591006057</v>
      </c>
      <c r="T97" s="14">
        <f>iferror(average('Revenue Growth YoY'!T94:T97),"")</f>
        <v>-0.1810787818</v>
      </c>
      <c r="U97" s="14">
        <f>iferror(average('Revenue Growth YoY'!U94:U97),"")</f>
        <v>-1.793823792</v>
      </c>
      <c r="V97" s="14" t="str">
        <f>iferror(average('Revenue Growth YoY'!V94:V97),"")</f>
        <v/>
      </c>
      <c r="W97" s="14" t="str">
        <f>iferror(average('Revenue Growth YoY'!W94:W97),"")</f>
        <v/>
      </c>
      <c r="X97" s="14">
        <f>iferror(average('Revenue Growth YoY'!X94:X97),"")</f>
        <v>-0.4213955395</v>
      </c>
      <c r="Y97" s="14">
        <f>iferror(average('Revenue Growth YoY'!Y94:Y97),"")</f>
        <v>-0.4394234821</v>
      </c>
      <c r="Z97" s="14">
        <f>iferror(average('Revenue Growth YoY'!Z94:Z97),"")</f>
        <v>-0.3321697851</v>
      </c>
      <c r="AA97" s="14">
        <f>iferror(average('Revenue Growth YoY'!AA94:AA97),"")</f>
        <v>-0.4225907999</v>
      </c>
      <c r="AB97" s="14">
        <f>iferror(average('Revenue Growth YoY'!AB94:AB97),"")</f>
        <v>-0.5125851095</v>
      </c>
      <c r="AC97" s="14">
        <f>iferror(average('Revenue Growth YoY'!AC94:AC97),"")</f>
        <v>-0.2120604498</v>
      </c>
      <c r="AD97" s="12"/>
    </row>
    <row r="98">
      <c r="A98" s="15" t="s">
        <v>125</v>
      </c>
      <c r="B98" s="14">
        <f>iferror(average('Revenue Growth YoY'!B95:B98),"")</f>
        <v>-0.2823962204</v>
      </c>
      <c r="C98" s="14">
        <f>iferror(average('Revenue Growth YoY'!C95:C98),"")</f>
        <v>-0.5338246742</v>
      </c>
      <c r="D98" s="14">
        <f>iferror(average('Revenue Growth YoY'!D95:D98),"")</f>
        <v>-0.5540459178</v>
      </c>
      <c r="E98" s="14">
        <f>iferror(average('Revenue Growth YoY'!E95:E98),"")</f>
        <v>-0.4718541986</v>
      </c>
      <c r="F98" s="14">
        <f>iferror(average('Revenue Growth YoY'!F95:F98),"")</f>
        <v>-0.6054388691</v>
      </c>
      <c r="G98" s="14">
        <f>iferror(average('Revenue Growth YoY'!G95:G98),"")</f>
        <v>-0.7023419588</v>
      </c>
      <c r="H98" s="14">
        <f>iferror(average('Revenue Growth YoY'!H95:H98),"")</f>
        <v>-0.661113085</v>
      </c>
      <c r="I98" s="14">
        <f>iferror(average('Revenue Growth YoY'!I95:I98),"")</f>
        <v>-0.7647314174</v>
      </c>
      <c r="J98" s="14">
        <f>iferror(average('Revenue Growth YoY'!J95:J98),"")</f>
        <v>-0.6249537089</v>
      </c>
      <c r="K98" s="14" t="str">
        <f>iferror(average('Revenue Growth YoY'!K95:K98),"")</f>
        <v/>
      </c>
      <c r="L98" s="14">
        <f>iferror(average('Revenue Growth YoY'!L95:L98),"")</f>
        <v>-0.7477157411</v>
      </c>
      <c r="M98" s="14">
        <f>iferror(average('Revenue Growth YoY'!M95:M98),"")</f>
        <v>-0.3589502114</v>
      </c>
      <c r="N98" s="14">
        <f>iferror(average('Revenue Growth YoY'!N95:N98),"")</f>
        <v>-0.6877052396</v>
      </c>
      <c r="O98" s="14">
        <f>iferror(average('Revenue Growth YoY'!O95:O98),"")</f>
        <v>-0.8204375236</v>
      </c>
      <c r="P98" s="14" t="str">
        <f>iferror(average('Revenue Growth YoY'!P95:P98),"")</f>
        <v/>
      </c>
      <c r="Q98" s="14" t="str">
        <f>iferror(average('Revenue Growth YoY'!Q95:Q98),"")</f>
        <v/>
      </c>
      <c r="R98" s="14"/>
      <c r="S98" s="14">
        <f>iferror(average('Revenue Growth YoY'!S95:S98),"")</f>
        <v>-0.6712044395</v>
      </c>
      <c r="T98" s="14">
        <f>iferror(average('Revenue Growth YoY'!T95:T98),"")</f>
        <v>-0.1696276848</v>
      </c>
      <c r="U98" s="14">
        <f>iferror(average('Revenue Growth YoY'!U95:U98),"")</f>
        <v>-1.556962126</v>
      </c>
      <c r="V98" s="14" t="str">
        <f>iferror(average('Revenue Growth YoY'!V95:V98),"")</f>
        <v/>
      </c>
      <c r="W98" s="14" t="str">
        <f>iferror(average('Revenue Growth YoY'!W95:W98),"")</f>
        <v/>
      </c>
      <c r="X98" s="14">
        <f>iferror(average('Revenue Growth YoY'!X95:X98),"")</f>
        <v>-0.5015068158</v>
      </c>
      <c r="Y98" s="14">
        <f>iferror(average('Revenue Growth YoY'!Y95:Y98),"")</f>
        <v>-0.6628519692</v>
      </c>
      <c r="Z98" s="14">
        <f>iferror(average('Revenue Growth YoY'!Z95:Z98),"")</f>
        <v>-0.5959768085</v>
      </c>
      <c r="AA98" s="14">
        <f>iferror(average('Revenue Growth YoY'!AA95:AA98),"")</f>
        <v>-0.615159241</v>
      </c>
      <c r="AB98" s="14">
        <f>iferror(average('Revenue Growth YoY'!AB95:AB98),"")</f>
        <v>-0.6431967233</v>
      </c>
      <c r="AC98" s="14">
        <f>iferror(average('Revenue Growth YoY'!AC95:AC98),"")</f>
        <v>-0.3711213178</v>
      </c>
      <c r="AD98" s="12"/>
    </row>
    <row r="99">
      <c r="A99" s="15" t="s">
        <v>126</v>
      </c>
      <c r="B99" s="14">
        <f>iferror(average('Revenue Growth YoY'!B96:B99),"")</f>
        <v>-0.2698442638</v>
      </c>
      <c r="C99" s="14">
        <f>iferror(average('Revenue Growth YoY'!C96:C99),"")</f>
        <v>-0.6107739025</v>
      </c>
      <c r="D99" s="14">
        <f>iferror(average('Revenue Growth YoY'!D96:D99),"")</f>
        <v>-0.6247030227</v>
      </c>
      <c r="E99" s="14">
        <f>iferror(average('Revenue Growth YoY'!E96:E99),"")</f>
        <v>-0.3744908447</v>
      </c>
      <c r="F99" s="14">
        <f>iferror(average('Revenue Growth YoY'!F96:F99),"")</f>
        <v>-0.6796677838</v>
      </c>
      <c r="G99" s="14">
        <f>iferror(average('Revenue Growth YoY'!G96:G99),"")</f>
        <v>-0.801286976</v>
      </c>
      <c r="H99" s="14">
        <f>iferror(average('Revenue Growth YoY'!H96:H99),"")</f>
        <v>-0.7871243894</v>
      </c>
      <c r="I99" s="14">
        <f>iferror(average('Revenue Growth YoY'!I96:I99),"")</f>
        <v>-0.7373339729</v>
      </c>
      <c r="J99" s="14">
        <f>iferror(average('Revenue Growth YoY'!J96:J99),"")</f>
        <v>-0.6545507098</v>
      </c>
      <c r="K99" s="14" t="str">
        <f>iferror(average('Revenue Growth YoY'!K96:K99),"")</f>
        <v/>
      </c>
      <c r="L99" s="14">
        <f>iferror(average('Revenue Growth YoY'!L96:L99),"")</f>
        <v>-0.8218599496</v>
      </c>
      <c r="M99" s="14">
        <f>iferror(average('Revenue Growth YoY'!M96:M99),"")</f>
        <v>-0.7060669173</v>
      </c>
      <c r="N99" s="14">
        <f>iferror(average('Revenue Growth YoY'!N96:N99),"")</f>
        <v>-0.8294820524</v>
      </c>
      <c r="O99" s="14">
        <f>iferror(average('Revenue Growth YoY'!O96:O99),"")</f>
        <v>-0.8028725353</v>
      </c>
      <c r="P99" s="14" t="str">
        <f>iferror(average('Revenue Growth YoY'!P96:P99),"")</f>
        <v/>
      </c>
      <c r="Q99" s="14" t="str">
        <f>iferror(average('Revenue Growth YoY'!Q96:Q99),"")</f>
        <v/>
      </c>
      <c r="R99" s="14"/>
      <c r="S99" s="14">
        <f>iferror(average('Revenue Growth YoY'!S96:S99),"")</f>
        <v>-0.3919091392</v>
      </c>
      <c r="T99" s="14">
        <f>iferror(average('Revenue Growth YoY'!T96:T99),"")</f>
        <v>-0.1581765877</v>
      </c>
      <c r="U99" s="14">
        <f>iferror(average('Revenue Growth YoY'!U96:U99),"")</f>
        <v>-0.9265488954</v>
      </c>
      <c r="V99" s="14" t="str">
        <f>iferror(average('Revenue Growth YoY'!V96:V99),"")</f>
        <v/>
      </c>
      <c r="W99" s="14" t="str">
        <f>iferror(average('Revenue Growth YoY'!W96:W99),"")</f>
        <v/>
      </c>
      <c r="X99" s="14">
        <f>iferror(average('Revenue Growth YoY'!X96:X99),"")</f>
        <v>-0.5816180921</v>
      </c>
      <c r="Y99" s="14">
        <f>iferror(average('Revenue Growth YoY'!Y96:Y99),"")</f>
        <v>-0.4691586406</v>
      </c>
      <c r="Z99" s="14">
        <f>iferror(average('Revenue Growth YoY'!Z96:Z99),"")</f>
        <v>-0.3644936649</v>
      </c>
      <c r="AA99" s="14">
        <f>iferror(average('Revenue Growth YoY'!AA96:AA99),"")</f>
        <v>-0.3581185813</v>
      </c>
      <c r="AB99" s="14">
        <f>iferror(average('Revenue Growth YoY'!AB96:AB99),"")</f>
        <v>-0.4709865415</v>
      </c>
      <c r="AC99" s="14">
        <f>iferror(average('Revenue Growth YoY'!AC96:AC99),"")</f>
        <v>-0.3059791369</v>
      </c>
      <c r="AD99" s="12"/>
    </row>
    <row r="100">
      <c r="A100" s="15" t="s">
        <v>127</v>
      </c>
      <c r="B100" s="14">
        <f>iferror(average('Revenue Growth YoY'!B97:B100),"")</f>
        <v>0.6583030435</v>
      </c>
      <c r="C100" s="14">
        <f>iferror(average('Revenue Growth YoY'!C97:C100),"")</f>
        <v>0.2054598638</v>
      </c>
      <c r="D100" s="14">
        <f>iferror(average('Revenue Growth YoY'!D97:D100),"")</f>
        <v>0.262839578</v>
      </c>
      <c r="E100" s="14">
        <f>iferror(average('Revenue Growth YoY'!E97:E100),"")</f>
        <v>0.04603993664</v>
      </c>
      <c r="F100" s="14">
        <f>iferror(average('Revenue Growth YoY'!F97:F100),"")</f>
        <v>0.2811423214</v>
      </c>
      <c r="G100" s="14">
        <f>iferror(average('Revenue Growth YoY'!G97:G100),"")</f>
        <v>0.6632357044</v>
      </c>
      <c r="H100" s="14">
        <f>iferror(average('Revenue Growth YoY'!H97:H100),"")</f>
        <v>0.2136674706</v>
      </c>
      <c r="I100" s="14">
        <f>iferror(average('Revenue Growth YoY'!I97:I100),"")</f>
        <v>-2.341570377</v>
      </c>
      <c r="J100" s="14">
        <f>iferror(average('Revenue Growth YoY'!J97:J100),"")</f>
        <v>0.6246320188</v>
      </c>
      <c r="K100" s="14"/>
      <c r="L100" s="14">
        <f>iferror(average('Revenue Growth YoY'!L97:L100),"")</f>
        <v>0.8149928294</v>
      </c>
      <c r="M100" s="14">
        <f>iferror(average('Revenue Growth YoY'!M97:M100),"")</f>
        <v>0.3044924356</v>
      </c>
      <c r="N100" s="14">
        <f>iferror(average('Revenue Growth YoY'!N97:N100),"")</f>
        <v>1.135498663</v>
      </c>
      <c r="O100" s="14">
        <f>iferror(average('Revenue Growth YoY'!O97:O100),"")</f>
        <v>-0.5804820851</v>
      </c>
      <c r="P100" s="14" t="str">
        <f>iferror(average('Revenue Growth YoY'!P97:P100),"")</f>
        <v/>
      </c>
      <c r="Q100" s="14" t="str">
        <f>iferror(average('Revenue Growth YoY'!Q97:Q100),"")</f>
        <v/>
      </c>
      <c r="R100" s="14"/>
      <c r="S100" s="14">
        <f>iferror(average('Revenue Growth YoY'!S97:S100),"")</f>
        <v>-0.1126138388</v>
      </c>
      <c r="T100" s="14">
        <f>iferror(average('Revenue Growth YoY'!T97:T100),"")</f>
        <v>0.04391158948</v>
      </c>
      <c r="U100" s="14">
        <f>iferror(average('Revenue Growth YoY'!U97:U100),"")</f>
        <v>-0.5399302483</v>
      </c>
      <c r="V100" s="14" t="str">
        <f>iferror(average('Revenue Growth YoY'!V97:V100),"")</f>
        <v/>
      </c>
      <c r="W100" s="14" t="str">
        <f>iferror(average('Revenue Growth YoY'!W97:W100),"")</f>
        <v/>
      </c>
      <c r="X100" s="14">
        <f>iferror(average('Revenue Growth YoY'!X97:X100),"")</f>
        <v>-0.6617293684</v>
      </c>
      <c r="Y100" s="14">
        <f>iferror(average('Revenue Growth YoY'!Y97:Y100),"")</f>
        <v>-0.275465312</v>
      </c>
      <c r="Z100" s="14">
        <f>iferror(average('Revenue Growth YoY'!Z97:Z100),"")</f>
        <v>-0.1330105213</v>
      </c>
      <c r="AA100" s="14">
        <f>iferror(average('Revenue Growth YoY'!AA97:AA100),"")</f>
        <v>-0.1010779215</v>
      </c>
      <c r="AB100" s="14">
        <f>iferror(average('Revenue Growth YoY'!AB97:AB100),"")</f>
        <v>-0.2987763596</v>
      </c>
      <c r="AC100" s="14">
        <f>iferror(average('Revenue Growth YoY'!AC97:AC100),"")</f>
        <v>-0.2408369559</v>
      </c>
      <c r="AD100" s="12"/>
    </row>
    <row r="101">
      <c r="A101" s="15" t="s">
        <v>128</v>
      </c>
      <c r="B101" s="14">
        <f>iferror(average('Revenue Growth YoY'!B98:B101),"")</f>
        <v>0.871284823</v>
      </c>
      <c r="C101" s="14">
        <f>iferror(average('Revenue Growth YoY'!C98:C101),"")</f>
        <v>0.5173105131</v>
      </c>
      <c r="D101" s="14">
        <f>iferror(average('Revenue Growth YoY'!D98:D101),"")</f>
        <v>0.6495159546</v>
      </c>
      <c r="E101" s="14">
        <f>iferror(average('Revenue Growth YoY'!E98:E101),"")</f>
        <v>0.167116513</v>
      </c>
      <c r="F101" s="14">
        <f>iferror(average('Revenue Growth YoY'!F98:F101),"")</f>
        <v>0.694597016</v>
      </c>
      <c r="G101" s="14">
        <f>iferror(average('Revenue Growth YoY'!G98:G101),"")</f>
        <v>1.174538841</v>
      </c>
      <c r="H101" s="14">
        <f>iferror(average('Revenue Growth YoY'!H98:H101),"")</f>
        <v>0.8781244257</v>
      </c>
      <c r="I101" s="14">
        <f>iferror(average('Revenue Growth YoY'!I98:I101),"")</f>
        <v>-0.5823619466</v>
      </c>
      <c r="J101" s="14">
        <f>iferror(average('Revenue Growth YoY'!J98:J101),"")</f>
        <v>1.308028575</v>
      </c>
      <c r="K101" s="14"/>
      <c r="L101" s="14">
        <f>iferror(average('Revenue Growth YoY'!L98:L101),"")</f>
        <v>2.336154261</v>
      </c>
      <c r="M101" s="14">
        <f>iferror(average('Revenue Growth YoY'!M98:M101),"")</f>
        <v>0.6216212127</v>
      </c>
      <c r="N101" s="14">
        <f>iferror(average('Revenue Growth YoY'!N98:N101),"")</f>
        <v>1.92500375</v>
      </c>
      <c r="O101" s="14">
        <f>iferror(average('Revenue Growth YoY'!O98:O101),"")</f>
        <v>0.001359120654</v>
      </c>
      <c r="P101" s="14" t="str">
        <f>iferror(average('Revenue Growth YoY'!P98:P101),"")</f>
        <v/>
      </c>
      <c r="Q101" s="14" t="str">
        <f>iferror(average('Revenue Growth YoY'!Q98:Q101),"")</f>
        <v/>
      </c>
      <c r="R101" s="14"/>
      <c r="S101" s="14">
        <f>iferror(average('Revenue Growth YoY'!S98:S101),"")</f>
        <v>0.1666814615</v>
      </c>
      <c r="T101" s="14">
        <f>iferror(average('Revenue Growth YoY'!T98:T101),"")</f>
        <v>0.2459997667</v>
      </c>
      <c r="U101" s="14">
        <f>iferror(average('Revenue Growth YoY'!U98:U101),"")</f>
        <v>-0.1517351235</v>
      </c>
      <c r="V101" s="14" t="str">
        <f>iferror(average('Revenue Growth YoY'!V98:V101),"")</f>
        <v/>
      </c>
      <c r="W101" s="14" t="str">
        <f>iferror(average('Revenue Growth YoY'!W98:W101),"")</f>
        <v/>
      </c>
      <c r="X101" s="14">
        <f>iferror(average('Revenue Growth YoY'!X98:X101),"")</f>
        <v>-0.3669692056</v>
      </c>
      <c r="Y101" s="14">
        <f>iferror(average('Revenue Growth YoY'!Y98:Y101),"")</f>
        <v>-0.08177198341</v>
      </c>
      <c r="Z101" s="14">
        <f>iferror(average('Revenue Growth YoY'!Z98:Z101),"")</f>
        <v>0.09847262229</v>
      </c>
      <c r="AA101" s="14">
        <f>iferror(average('Revenue Growth YoY'!AA98:AA101),"")</f>
        <v>0.1559627382</v>
      </c>
      <c r="AB101" s="14">
        <f>iferror(average('Revenue Growth YoY'!AB98:AB101),"")</f>
        <v>-0.1265661778</v>
      </c>
      <c r="AC101" s="14">
        <f>iferror(average('Revenue Growth YoY'!AC98:AC101),"")</f>
        <v>-0.175694775</v>
      </c>
      <c r="AD101" s="12"/>
    </row>
    <row r="102">
      <c r="A102" s="15" t="s">
        <v>129</v>
      </c>
      <c r="B102" s="14">
        <f>iferror(average('Revenue Growth YoY'!B99:B102),"")</f>
        <v>1.12321638</v>
      </c>
      <c r="C102" s="14">
        <f>iferror(average('Revenue Growth YoY'!C99:C102),"")</f>
        <v>1.026597089</v>
      </c>
      <c r="D102" s="14">
        <f>iferror(average('Revenue Growth YoY'!D99:D102),"")</f>
        <v>1.18508173</v>
      </c>
      <c r="E102" s="14">
        <f>iferror(average('Revenue Growth YoY'!E99:E102),"")</f>
        <v>0.2431403375</v>
      </c>
      <c r="F102" s="14">
        <f>iferror(average('Revenue Growth YoY'!F99:F102),"")</f>
        <v>1.127426404</v>
      </c>
      <c r="G102" s="14">
        <f>iferror(average('Revenue Growth YoY'!G99:G102),"")</f>
        <v>1.812439302</v>
      </c>
      <c r="H102" s="14">
        <f>iferror(average('Revenue Growth YoY'!H99:H102),"")</f>
        <v>1.616176817</v>
      </c>
      <c r="I102" s="14">
        <f>iferror(average('Revenue Growth YoY'!I99:I102),"")</f>
        <v>-0.08897320121</v>
      </c>
      <c r="J102" s="14">
        <f>iferror(average('Revenue Growth YoY'!J99:J102),"")</f>
        <v>1.717556459</v>
      </c>
      <c r="K102" s="14"/>
      <c r="L102" s="14">
        <f>iferror(average('Revenue Growth YoY'!L99:L102),"")</f>
        <v>2.997273015</v>
      </c>
      <c r="M102" s="14">
        <f>iferror(average('Revenue Growth YoY'!M99:M102),"")</f>
        <v>1.090741722</v>
      </c>
      <c r="N102" s="14">
        <f>iferror(average('Revenue Growth YoY'!N99:N102),"")</f>
        <v>2.443817879</v>
      </c>
      <c r="O102" s="14">
        <f>iferror(average('Revenue Growth YoY'!O99:O102),"")</f>
        <v>0.8812352609</v>
      </c>
      <c r="P102" s="14" t="str">
        <f>iferror(average('Revenue Growth YoY'!P99:P102),"")</f>
        <v/>
      </c>
      <c r="Q102" s="14" t="str">
        <f>iferror(average('Revenue Growth YoY'!Q99:Q102),"")</f>
        <v/>
      </c>
      <c r="R102" s="14"/>
      <c r="S102" s="14">
        <f>iferror(average('Revenue Growth YoY'!S99:S102),"")</f>
        <v>0.4459767619</v>
      </c>
      <c r="T102" s="14">
        <f>iferror(average('Revenue Growth YoY'!T99:T102),"")</f>
        <v>0.4480879439</v>
      </c>
      <c r="U102" s="14">
        <f>iferror(average('Revenue Growth YoY'!U99:U102),"")</f>
        <v>0.3075563713</v>
      </c>
      <c r="V102" s="14" t="str">
        <f>iferror(average('Revenue Growth YoY'!V99:V102),"")</f>
        <v/>
      </c>
      <c r="W102" s="14" t="str">
        <f>iferror(average('Revenue Growth YoY'!W99:W102),"")</f>
        <v/>
      </c>
      <c r="X102" s="14">
        <f>iferror(average('Revenue Growth YoY'!X99:X102),"")</f>
        <v>-0.0722090428</v>
      </c>
      <c r="Y102" s="14">
        <f>iferror(average('Revenue Growth YoY'!Y99:Y102),"")</f>
        <v>0.1119213452</v>
      </c>
      <c r="Z102" s="14">
        <f>iferror(average('Revenue Growth YoY'!Z99:Z102),"")</f>
        <v>0.3299557659</v>
      </c>
      <c r="AA102" s="14">
        <f>iferror(average('Revenue Growth YoY'!AA99:AA102),"")</f>
        <v>0.413003398</v>
      </c>
      <c r="AB102" s="14">
        <f>iferror(average('Revenue Growth YoY'!AB99:AB102),"")</f>
        <v>0.0456440041</v>
      </c>
      <c r="AC102" s="14">
        <f>iferror(average('Revenue Growth YoY'!AC99:AC102),"")</f>
        <v>-0.1105525941</v>
      </c>
      <c r="AD102" s="12"/>
    </row>
    <row r="103">
      <c r="A103" s="15" t="s">
        <v>130</v>
      </c>
      <c r="B103" s="14">
        <f>iferror(average('Revenue Growth YoY'!B100:B103),"")</f>
        <v>1.285144124</v>
      </c>
      <c r="C103" s="14">
        <f>iferror(average('Revenue Growth YoY'!C100:C103),"")</f>
        <v>1.492415683</v>
      </c>
      <c r="D103" s="14">
        <f>iferror(average('Revenue Growth YoY'!D100:D103),"")</f>
        <v>1.495311677</v>
      </c>
      <c r="E103" s="14">
        <f>iferror(average('Revenue Growth YoY'!E100:E103),"")</f>
        <v>0.2668215853</v>
      </c>
      <c r="F103" s="14">
        <f>iferror(average('Revenue Growth YoY'!F100:F103),"")</f>
        <v>1.549335218</v>
      </c>
      <c r="G103" s="14">
        <f>iferror(average('Revenue Growth YoY'!G100:G103),"")</f>
        <v>2.409297585</v>
      </c>
      <c r="H103" s="14">
        <f>iferror(average('Revenue Growth YoY'!H100:H103),"")</f>
        <v>2.538679452</v>
      </c>
      <c r="I103" s="14">
        <f>iferror(average('Revenue Growth YoY'!I100:I103),"")</f>
        <v>0.2827071425</v>
      </c>
      <c r="J103" s="14">
        <f>iferror(average('Revenue Growth YoY'!J100:J103),"")</f>
        <v>1.808394532</v>
      </c>
      <c r="K103" s="14">
        <f>iferror(average('Revenue Growth YoY'!K100:K103),"")</f>
        <v>1.686192692</v>
      </c>
      <c r="L103" s="14">
        <f>iferror(average('Revenue Growth YoY'!L100:L103),"")</f>
        <v>3.591516442</v>
      </c>
      <c r="M103" s="14">
        <f>iferror(average('Revenue Growth YoY'!M100:M103),"")</f>
        <v>1.379707961</v>
      </c>
      <c r="N103" s="14">
        <f>iferror(average('Revenue Growth YoY'!N100:N103),"")</f>
        <v>2.981973959</v>
      </c>
      <c r="O103" s="14">
        <f>iferror(average('Revenue Growth YoY'!O100:O103),"")</f>
        <v>2.113417571</v>
      </c>
      <c r="P103" s="14">
        <f>iferror(average('Revenue Growth YoY'!P100:P103),"")</f>
        <v>-0.1622807018</v>
      </c>
      <c r="Q103" s="14" t="str">
        <f>iferror(average('Revenue Growth YoY'!Q100:Q103),"")</f>
        <v/>
      </c>
      <c r="R103" s="14"/>
      <c r="S103" s="14">
        <f>iferror(average('Revenue Growth YoY'!S100:S103),"")</f>
        <v>0.5244983419</v>
      </c>
      <c r="T103" s="14">
        <f>iferror(average('Revenue Growth YoY'!T100:T103),"")</f>
        <v>0.6501761211</v>
      </c>
      <c r="U103" s="14">
        <f>iferror(average('Revenue Growth YoY'!U100:U103),"")</f>
        <v>0.6155633783</v>
      </c>
      <c r="V103" s="14" t="str">
        <f>iferror(average('Revenue Growth YoY'!V100:V103),"")</f>
        <v/>
      </c>
      <c r="W103" s="14" t="str">
        <f>iferror(average('Revenue Growth YoY'!W100:W103),"")</f>
        <v/>
      </c>
      <c r="X103" s="14">
        <f>iferror(average('Revenue Growth YoY'!X100:X103),"")</f>
        <v>0.22255112</v>
      </c>
      <c r="Y103" s="14">
        <f>iferror(average('Revenue Growth YoY'!Y100:Y103),"")</f>
        <v>0.393104819</v>
      </c>
      <c r="Z103" s="14">
        <f>iferror(average('Revenue Growth YoY'!Z100:Z103),"")</f>
        <v>0.5546031898</v>
      </c>
      <c r="AA103" s="14">
        <f>iferror(average('Revenue Growth YoY'!AA100:AA103),"")</f>
        <v>0.1447905205</v>
      </c>
      <c r="AB103" s="14">
        <f>iferror(average('Revenue Growth YoY'!AB100:AB103),"")</f>
        <v>-0.02560820453</v>
      </c>
      <c r="AC103" s="14">
        <f>iferror(average('Revenue Growth YoY'!AC100:AC103),"")</f>
        <v>0.09825617611</v>
      </c>
      <c r="AD103" s="12"/>
    </row>
    <row r="104">
      <c r="A104" s="15" t="s">
        <v>131</v>
      </c>
      <c r="B104" s="14">
        <f>iferror(average('Revenue Growth YoY'!B101:B104),"")</f>
        <v>0.6820262232</v>
      </c>
      <c r="C104" s="14">
        <f>iferror(average('Revenue Growth YoY'!C101:C104),"")</f>
        <v>1.132263567</v>
      </c>
      <c r="D104" s="14">
        <f>iferror(average('Revenue Growth YoY'!D101:D104),"")</f>
        <v>0.939608378</v>
      </c>
      <c r="E104" s="14">
        <f>iferror(average('Revenue Growth YoY'!E101:E104),"")</f>
        <v>-0.07790742473</v>
      </c>
      <c r="F104" s="14">
        <f>iferror(average('Revenue Growth YoY'!F101:F104),"")</f>
        <v>0.9971895273</v>
      </c>
      <c r="G104" s="14">
        <f>iferror(average('Revenue Growth YoY'!G101:G104),"")</f>
        <v>1.305861701</v>
      </c>
      <c r="H104" s="14">
        <f>iferror(average('Revenue Growth YoY'!H101:H104),"")</f>
        <v>2.04108821</v>
      </c>
      <c r="I104" s="14">
        <f>iferror(average('Revenue Growth YoY'!I101:I104),"")</f>
        <v>2.441029921</v>
      </c>
      <c r="J104" s="14">
        <f>iferror(average('Revenue Growth YoY'!J101:J104),"")</f>
        <v>1.604802605</v>
      </c>
      <c r="K104" s="14">
        <f>iferror(average('Revenue Growth YoY'!K101:K104),"")</f>
        <v>1.318385582</v>
      </c>
      <c r="L104" s="14">
        <f>iferror(average('Revenue Growth YoY'!L101:L104),"")</f>
        <v>2.253987194</v>
      </c>
      <c r="M104" s="14">
        <f>iferror(average('Revenue Growth YoY'!M101:M104),"")</f>
        <v>0.6814231644</v>
      </c>
      <c r="N104" s="14">
        <f>iferror(average('Revenue Growth YoY'!N101:N104),"")</f>
        <v>1.659400823</v>
      </c>
      <c r="O104" s="14">
        <f>iferror(average('Revenue Growth YoY'!O101:O104),"")</f>
        <v>2.616531753</v>
      </c>
      <c r="P104" s="14">
        <f>iferror(average('Revenue Growth YoY'!P101:P104),"")</f>
        <v>0.5548245614</v>
      </c>
      <c r="Q104" s="14" t="str">
        <f>iferror(average('Revenue Growth YoY'!Q101:Q104),"")</f>
        <v/>
      </c>
      <c r="R104" s="14"/>
      <c r="S104" s="14">
        <f>iferror(average('Revenue Growth YoY'!S101:S104),"")</f>
        <v>0.6030199219</v>
      </c>
      <c r="T104" s="14">
        <f>iferror(average('Revenue Growth YoY'!T101:T104),"")</f>
        <v>0.5664164146</v>
      </c>
      <c r="U104" s="14">
        <f>iferror(average('Revenue Growth YoY'!U101:U104),"")</f>
        <v>0.8983326653</v>
      </c>
      <c r="V104" s="14" t="str">
        <f>iferror(average('Revenue Growth YoY'!V101:V104),"")</f>
        <v/>
      </c>
      <c r="W104" s="14" t="str">
        <f>iferror(average('Revenue Growth YoY'!W101:W104),"")</f>
        <v/>
      </c>
      <c r="X104" s="14">
        <f>iferror(average('Revenue Growth YoY'!X101:X104),"")</f>
        <v>0.5173112828</v>
      </c>
      <c r="Y104" s="14">
        <f>iferror(average('Revenue Growth YoY'!Y101:Y104),"")</f>
        <v>0.6742882928</v>
      </c>
      <c r="Z104" s="14">
        <f>iferror(average('Revenue Growth YoY'!Z101:Z104),"")</f>
        <v>0.7792506137</v>
      </c>
      <c r="AA104" s="14">
        <f>iferror(average('Revenue Growth YoY'!AA101:AA104),"")</f>
        <v>-0.123422357</v>
      </c>
      <c r="AB104" s="14">
        <f>iferror(average('Revenue Growth YoY'!AB101:AB104),"")</f>
        <v>-0.09686041316</v>
      </c>
      <c r="AC104" s="14">
        <f>iferror(average('Revenue Growth YoY'!AC101:AC104),"")</f>
        <v>0.3070649463</v>
      </c>
      <c r="AD104" s="12"/>
    </row>
    <row r="105">
      <c r="A105" s="15" t="s">
        <v>132</v>
      </c>
      <c r="B105" s="14">
        <f>iferror(average('Revenue Growth YoY'!B102:B105),"")</f>
        <v>0.5875072249</v>
      </c>
      <c r="C105" s="14">
        <f>iferror(average('Revenue Growth YoY'!C102:C105),"")</f>
        <v>1.013027688</v>
      </c>
      <c r="D105" s="14">
        <f>iferror(average('Revenue Growth YoY'!D102:D105),"")</f>
        <v>0.7527070517</v>
      </c>
      <c r="E105" s="14">
        <f>iferror(average('Revenue Growth YoY'!E102:E105),"")</f>
        <v>-0.0444657134</v>
      </c>
      <c r="F105" s="14">
        <f>iferror(average('Revenue Growth YoY'!F102:F105),"")</f>
        <v>0.8742467695</v>
      </c>
      <c r="G105" s="14">
        <f>iferror(average('Revenue Growth YoY'!G102:G105),"")</f>
        <v>1.065428729</v>
      </c>
      <c r="H105" s="14">
        <f>iferror(average('Revenue Growth YoY'!H102:H105),"")</f>
        <v>1.673679377</v>
      </c>
      <c r="I105" s="14">
        <f>iferror(average('Revenue Growth YoY'!I102:I105),"")</f>
        <v>1.096268771</v>
      </c>
      <c r="J105" s="14">
        <f>iferror(average('Revenue Growth YoY'!J102:J105),"")</f>
        <v>1.358854027</v>
      </c>
      <c r="K105" s="14">
        <f>iferror(average('Revenue Growth YoY'!K102:K105),"")</f>
        <v>0.9505784724</v>
      </c>
      <c r="L105" s="14">
        <f>iferror(average('Revenue Growth YoY'!L102:L105),"")</f>
        <v>1.053676175</v>
      </c>
      <c r="M105" s="14">
        <f>iferror(average('Revenue Growth YoY'!M102:M105),"")</f>
        <v>0.8130681354</v>
      </c>
      <c r="N105" s="14">
        <f>iferror(average('Revenue Growth YoY'!N102:N105),"")</f>
        <v>1.348235844</v>
      </c>
      <c r="O105" s="14">
        <f>iferror(average('Revenue Growth YoY'!O102:O105),"")</f>
        <v>2.797501624</v>
      </c>
      <c r="P105" s="14">
        <f>iferror(average('Revenue Growth YoY'!P102:P105),"")</f>
        <v>0.7938596491</v>
      </c>
      <c r="Q105" s="14" t="str">
        <f>iferror(average('Revenue Growth YoY'!Q102:Q105),"")</f>
        <v/>
      </c>
      <c r="R105" s="14"/>
      <c r="S105" s="14">
        <f>iferror(average('Revenue Growth YoY'!S102:S105),"")</f>
        <v>0.681541502</v>
      </c>
      <c r="T105" s="14">
        <f>iferror(average('Revenue Growth YoY'!T102:T105),"")</f>
        <v>0.5588379387</v>
      </c>
      <c r="U105" s="14">
        <f>iferror(average('Revenue Growth YoY'!U102:U105),"")</f>
        <v>0.8946925508</v>
      </c>
      <c r="V105" s="14" t="str">
        <f>iferror(average('Revenue Growth YoY'!V102:V105),"")</f>
        <v/>
      </c>
      <c r="W105" s="14" t="str">
        <f>iferror(average('Revenue Growth YoY'!W102:W105),"")</f>
        <v/>
      </c>
      <c r="X105" s="14">
        <f>iferror(average('Revenue Growth YoY'!X102:X105),"")</f>
        <v>0.6632034517</v>
      </c>
      <c r="Y105" s="14">
        <f>iferror(average('Revenue Growth YoY'!Y102:Y105),"")</f>
        <v>0.9554717666</v>
      </c>
      <c r="Z105" s="14">
        <f>iferror(average('Revenue Growth YoY'!Z102:Z105),"")</f>
        <v>1.003898038</v>
      </c>
      <c r="AA105" s="14">
        <f>iferror(average('Revenue Growth YoY'!AA102:AA105),"")</f>
        <v>-0.3916352346</v>
      </c>
      <c r="AB105" s="14">
        <f>iferror(average('Revenue Growth YoY'!AB102:AB105),"")</f>
        <v>-0.1681126218</v>
      </c>
      <c r="AC105" s="14">
        <f>iferror(average('Revenue Growth YoY'!AC102:AC105),"")</f>
        <v>0.5158737165</v>
      </c>
      <c r="AD105" s="12"/>
    </row>
    <row r="106">
      <c r="A106" s="15" t="s">
        <v>133</v>
      </c>
      <c r="B106" s="14">
        <f>iferror(average('Revenue Growth YoY'!B103:B106),"")</f>
        <v>0.4519217805</v>
      </c>
      <c r="C106" s="14">
        <f>iferror(average('Revenue Growth YoY'!C103:C106),"")</f>
        <v>0.750615949</v>
      </c>
      <c r="D106" s="14">
        <f>iferror(average('Revenue Growth YoY'!D103:D106),"")</f>
        <v>0.4206009363</v>
      </c>
      <c r="E106" s="14">
        <f>iferror(average('Revenue Growth YoY'!E103:E106),"")</f>
        <v>-0.03762500077</v>
      </c>
      <c r="F106" s="14">
        <f>iferror(average('Revenue Growth YoY'!F103:F106),"")</f>
        <v>0.7220701348</v>
      </c>
      <c r="G106" s="14">
        <f>iferror(average('Revenue Growth YoY'!G103:G106),"")</f>
        <v>0.6698145008</v>
      </c>
      <c r="H106" s="14">
        <f>iferror(average('Revenue Growth YoY'!H103:H106),"")</f>
        <v>1.220660509</v>
      </c>
      <c r="I106" s="14">
        <f>iferror(average('Revenue Growth YoY'!I103:I106),"")</f>
        <v>0.8035765044</v>
      </c>
      <c r="J106" s="14">
        <f>iferror(average('Revenue Growth YoY'!J103:J106),"")</f>
        <v>1.223278864</v>
      </c>
      <c r="K106" s="14">
        <f>iferror(average('Revenue Growth YoY'!K103:K106),"")</f>
        <v>0.5827713623</v>
      </c>
      <c r="L106" s="14">
        <f>iferror(average('Revenue Growth YoY'!L103:L106),"")</f>
        <v>0.7193439495</v>
      </c>
      <c r="M106" s="14">
        <f>iferror(average('Revenue Growth YoY'!M103:M106),"")</f>
        <v>0.468197372</v>
      </c>
      <c r="N106" s="14">
        <f>iferror(average('Revenue Growth YoY'!N103:N106),"")</f>
        <v>1.131684257</v>
      </c>
      <c r="O106" s="14">
        <f>iferror(average('Revenue Growth YoY'!O103:O106),"")</f>
        <v>2.459460376</v>
      </c>
      <c r="P106" s="14">
        <f>iferror(average('Revenue Growth YoY'!P103:P106),"")</f>
        <v>1.07837903</v>
      </c>
      <c r="Q106" s="14" t="str">
        <f>iferror(average('Revenue Growth YoY'!Q103:Q106),"")</f>
        <v/>
      </c>
      <c r="R106" s="14"/>
      <c r="S106" s="14">
        <f>iferror(average('Revenue Growth YoY'!S103:S106),"")</f>
        <v>0.760063082</v>
      </c>
      <c r="T106" s="14">
        <f>iferror(average('Revenue Growth YoY'!T103:T106),"")</f>
        <v>0.6493748911</v>
      </c>
      <c r="U106" s="14">
        <f>iferror(average('Revenue Growth YoY'!U103:U106),"")</f>
        <v>0.7206102387</v>
      </c>
      <c r="V106" s="14" t="str">
        <f>iferror(average('Revenue Growth YoY'!V103:V106),"")</f>
        <v/>
      </c>
      <c r="W106" s="14" t="str">
        <f>iferror(average('Revenue Growth YoY'!W103:W106),"")</f>
        <v/>
      </c>
      <c r="X106" s="14">
        <f>iferror(average('Revenue Growth YoY'!X103:X106),"")</f>
        <v>0.8090956206</v>
      </c>
      <c r="Y106" s="14">
        <f>iferror(average('Revenue Growth YoY'!Y103:Y106),"")</f>
        <v>1.23665524</v>
      </c>
      <c r="Z106" s="14">
        <f>iferror(average('Revenue Growth YoY'!Z103:Z106),"")</f>
        <v>1.228545462</v>
      </c>
      <c r="AA106" s="14">
        <f>iferror(average('Revenue Growth YoY'!AA103:AA106),"")</f>
        <v>-0.6598481121</v>
      </c>
      <c r="AB106" s="14">
        <f>iferror(average('Revenue Growth YoY'!AB103:AB106),"")</f>
        <v>-0.2393648304</v>
      </c>
      <c r="AC106" s="14">
        <f>iferror(average('Revenue Growth YoY'!AC103:AC106),"")</f>
        <v>0.7246824866</v>
      </c>
      <c r="AD106" s="12"/>
    </row>
    <row r="107">
      <c r="A107" s="15" t="s">
        <v>134</v>
      </c>
      <c r="B107" s="14">
        <f>if('Revenue Growth YoY'!B107&lt;&gt;"",iferror(average('Revenue Growth YoY'!B104:B107),""),"")</f>
        <v>0.3278042328</v>
      </c>
      <c r="C107" s="14">
        <f>if('Revenue Growth YoY'!C107&lt;&gt;"",iferror(average('Revenue Growth YoY'!C104:C107),""),"")</f>
        <v>0.5105889734</v>
      </c>
      <c r="D107" s="14">
        <f>if('Revenue Growth YoY'!D107&lt;&gt;"",iferror(average('Revenue Growth YoY'!D104:D107),""),"")</f>
        <v>0.2655997301</v>
      </c>
      <c r="E107" s="14">
        <f>if('Revenue Growth YoY'!E107&lt;&gt;"",iferror(average('Revenue Growth YoY'!E104:E107),""),"")</f>
        <v>0.2205790711</v>
      </c>
      <c r="F107" s="14">
        <f>if('Revenue Growth YoY'!F107&lt;&gt;"",iferror(average('Revenue Growth YoY'!F104:F107),""),"")</f>
        <v>0.5435574432</v>
      </c>
      <c r="G107" s="14">
        <f>if('Revenue Growth YoY'!G107&lt;&gt;"",iferror(average('Revenue Growth YoY'!G104:G107),""),"")</f>
        <v>0.2777606979</v>
      </c>
      <c r="H107" s="14">
        <f>if('Revenue Growth YoY'!H107&lt;&gt;"",iferror(average('Revenue Growth YoY'!H104:H107),""),"")</f>
        <v>0.5487203261</v>
      </c>
      <c r="I107" s="14">
        <f>if('Revenue Growth YoY'!I107&lt;&gt;"",iferror(average('Revenue Growth YoY'!I104:I107),""),"")</f>
        <v>0.6145131097</v>
      </c>
      <c r="J107" s="14">
        <f>if('Revenue Growth YoY'!J107&lt;&gt;"",iferror(average('Revenue Growth YoY'!J104:J107),""),"")</f>
        <v>1.362866764</v>
      </c>
      <c r="K107" s="14">
        <f>if('Revenue Growth YoY'!K107&lt;&gt;"",iferror(average('Revenue Growth YoY'!K104:K107),""),"")</f>
        <v>0.2365478942</v>
      </c>
      <c r="L107" s="14">
        <f>if('Revenue Growth YoY'!L107&lt;&gt;"",iferror(average('Revenue Growth YoY'!L104:L107),""),"")</f>
        <v>0.5402713468</v>
      </c>
      <c r="M107" s="14">
        <f>if('Revenue Growth YoY'!M107&lt;&gt;"",iferror(average('Revenue Growth YoY'!M104:M107),""),"")</f>
        <v>0.3482116427</v>
      </c>
      <c r="N107" s="14">
        <f>if('Revenue Growth YoY'!N107&lt;&gt;"",iferror(average('Revenue Growth YoY'!N104:N107),""),"")</f>
        <v>0.9096813529</v>
      </c>
      <c r="O107" s="14">
        <f>if('Revenue Growth YoY'!O107&lt;&gt;"",iferror(average('Revenue Growth YoY'!O104:O107),""),"")</f>
        <v>1.714241526</v>
      </c>
      <c r="P107" s="14">
        <f>if('Revenue Growth YoY'!P107&lt;&gt;"",iferror(average('Revenue Growth YoY'!P104:P107),""),"")</f>
        <v>1.601933499</v>
      </c>
      <c r="Q107" s="14" t="str">
        <f>if('Revenue Growth YoY'!Q107&lt;&gt;"",iferror(average('Revenue Growth YoY'!Q104:Q107),""),"")</f>
        <v/>
      </c>
      <c r="R107" s="14"/>
      <c r="S107" s="14">
        <f>if('Revenue Growth YoY'!S107&lt;&gt;"",iferror(average('Revenue Growth YoY'!S104:S107),""),"")</f>
        <v>0.6187508267</v>
      </c>
      <c r="T107" s="14">
        <f>if('Revenue Growth YoY'!T107&lt;&gt;"",iferror(average('Revenue Growth YoY'!T104:T107),""),"")</f>
        <v>0.670893335</v>
      </c>
      <c r="U107" s="14">
        <f>if('Revenue Growth YoY'!U107&lt;&gt;"",iferror(average('Revenue Growth YoY'!U104:U107),""),"")</f>
        <v>0.8886154824</v>
      </c>
      <c r="V107" s="14" t="str">
        <f>if('Revenue Growth YoY'!V107&lt;&gt;"",iferror(average('Revenue Growth YoY'!V104:V107),""),"")</f>
        <v/>
      </c>
      <c r="W107" s="14" t="str">
        <f>if('Revenue Growth YoY'!W107&lt;&gt;"",iferror(average('Revenue Growth YoY'!W104:W107),""),"")</f>
        <v/>
      </c>
      <c r="X107" s="14">
        <f>if('Revenue Growth YoY'!X107&lt;&gt;"",iferror(average('Revenue Growth YoY'!X104:X107),""),"")</f>
        <v>0.9549877895</v>
      </c>
      <c r="Y107" s="14">
        <f>if('Revenue Growth YoY'!Y107&lt;&gt;"",iferror(average('Revenue Growth YoY'!Y104:Y107),""),"")</f>
        <v>0.9962190141</v>
      </c>
      <c r="Z107" s="14">
        <f>if('Revenue Growth YoY'!Z107&lt;&gt;"",iferror(average('Revenue Growth YoY'!Z104:Z107),""),"")</f>
        <v>1.121084576</v>
      </c>
      <c r="AA107" s="14">
        <f>if('Revenue Growth YoY'!AA107&lt;&gt;"",iferror(average('Revenue Growth YoY'!AA104:AA107),""),"")</f>
        <v>-0.447537922</v>
      </c>
      <c r="AB107" s="14" t="str">
        <f>if('Revenue Growth YoY'!AB107&lt;&gt;"",iferror(average('Revenue Growth YoY'!AB104:AB107),""),"")</f>
        <v/>
      </c>
      <c r="AC107" s="14">
        <f>if('Revenue Growth YoY'!AC107&lt;&gt;"",iferror(average('Revenue Growth YoY'!AC104:AC107),""),"")</f>
        <v>0.6216363833</v>
      </c>
      <c r="AD107" s="12"/>
    </row>
    <row r="108">
      <c r="A108" s="15" t="s">
        <v>135</v>
      </c>
      <c r="B108" s="14">
        <f>if('Revenue Growth YoY'!B108&lt;&gt;"",iferror(average('Revenue Growth YoY'!B105:B108),""),"")</f>
        <v>0.2289716278</v>
      </c>
      <c r="C108" s="14">
        <f>if('Revenue Growth YoY'!C108&lt;&gt;"",iferror(average('Revenue Growth YoY'!C105:C108),""),"")</f>
        <v>0.3316000957</v>
      </c>
      <c r="D108" s="14">
        <f>if('Revenue Growth YoY'!D108&lt;&gt;"",iferror(average('Revenue Growth YoY'!D105:D108),""),"")</f>
        <v>0.1527932544</v>
      </c>
      <c r="E108" s="14">
        <f>if('Revenue Growth YoY'!E108&lt;&gt;"",iferror(average('Revenue Growth YoY'!E105:E108),""),"")</f>
        <v>0.704960478</v>
      </c>
      <c r="F108" s="14">
        <f>if('Revenue Growth YoY'!F108&lt;&gt;"",iferror(average('Revenue Growth YoY'!F105:F108),""),"")</f>
        <v>0.3961034914</v>
      </c>
      <c r="G108" s="14">
        <f>if('Revenue Growth YoY'!G108&lt;&gt;"",iferror(average('Revenue Growth YoY'!G105:G108),""),"")</f>
        <v>0.1135682182</v>
      </c>
      <c r="H108" s="14">
        <f>if('Revenue Growth YoY'!H108&lt;&gt;"",iferror(average('Revenue Growth YoY'!H105:H108),""),"")</f>
        <v>0.2864381694</v>
      </c>
      <c r="I108" s="14">
        <f>if('Revenue Growth YoY'!I108&lt;&gt;"",iferror(average('Revenue Growth YoY'!I105:I108),""),"")</f>
        <v>0.3895262664</v>
      </c>
      <c r="J108" s="14">
        <f>if('Revenue Growth YoY'!J108&lt;&gt;"",iferror(average('Revenue Growth YoY'!J105:J108),""),"")</f>
        <v>0.6206349267</v>
      </c>
      <c r="K108" s="14">
        <f>if('Revenue Growth YoY'!K108&lt;&gt;"",iferror(average('Revenue Growth YoY'!K105:K108),""),"")</f>
        <v>0.2369146529</v>
      </c>
      <c r="L108" s="14">
        <f>if('Revenue Growth YoY'!L108&lt;&gt;"",iferror(average('Revenue Growth YoY'!L105:L108),""),"")</f>
        <v>0.6093140637</v>
      </c>
      <c r="M108" s="14">
        <f>if('Revenue Growth YoY'!M108&lt;&gt;"",iferror(average('Revenue Growth YoY'!M105:M108),""),"")</f>
        <v>0.3988205598</v>
      </c>
      <c r="N108" s="14">
        <f>if('Revenue Growth YoY'!N108&lt;&gt;"",iferror(average('Revenue Growth YoY'!N105:N108),""),"")</f>
        <v>0.6087923658</v>
      </c>
      <c r="O108" s="14">
        <f>if('Revenue Growth YoY'!O108&lt;&gt;"",iferror(average('Revenue Growth YoY'!O105:O108),""),"")</f>
        <v>1.272889298</v>
      </c>
      <c r="P108" s="14">
        <f>if('Revenue Growth YoY'!P108&lt;&gt;"",iferror(average('Revenue Growth YoY'!P105:P108),""),"")</f>
        <v>1.298912432</v>
      </c>
      <c r="Q108" s="14" t="str">
        <f>if('Revenue Growth YoY'!Q108&lt;&gt;"",iferror(average('Revenue Growth YoY'!Q105:Q108),""),"")</f>
        <v/>
      </c>
      <c r="R108" s="14"/>
      <c r="S108" s="14">
        <f>if('Revenue Growth YoY'!S108&lt;&gt;"",iferror(average('Revenue Growth YoY'!S105:S108),""),"")</f>
        <v>0.4834729858</v>
      </c>
      <c r="T108" s="14">
        <f>if('Revenue Growth YoY'!T108&lt;&gt;"",iferror(average('Revenue Growth YoY'!T105:T108),""),"")</f>
        <v>0.6426567832</v>
      </c>
      <c r="U108" s="14">
        <f>if('Revenue Growth YoY'!U108&lt;&gt;"",iferror(average('Revenue Growth YoY'!U105:U108),""),"")</f>
        <v>0.4958920623</v>
      </c>
      <c r="V108" s="14" t="str">
        <f>if('Revenue Growth YoY'!V108&lt;&gt;"",iferror(average('Revenue Growth YoY'!V105:V108),""),"")</f>
        <v/>
      </c>
      <c r="W108" s="14" t="str">
        <f>if('Revenue Growth YoY'!W108&lt;&gt;"",iferror(average('Revenue Growth YoY'!W105:W108),""),"")</f>
        <v/>
      </c>
      <c r="X108" s="14">
        <f>if('Revenue Growth YoY'!X108&lt;&gt;"",iferror(average('Revenue Growth YoY'!X105:X108),""),"")</f>
        <v>1.100879958</v>
      </c>
      <c r="Y108" s="14">
        <f>if('Revenue Growth YoY'!Y108&lt;&gt;"",iferror(average('Revenue Growth YoY'!Y105:Y108),""),"")</f>
        <v>0.7557827877</v>
      </c>
      <c r="Z108" s="14">
        <f>if('Revenue Growth YoY'!Z108&lt;&gt;"",iferror(average('Revenue Growth YoY'!Z105:Z108),""),"")</f>
        <v>1.01362369</v>
      </c>
      <c r="AA108" s="14">
        <f>if('Revenue Growth YoY'!AA108&lt;&gt;"",iferror(average('Revenue Growth YoY'!AA105:AA108),""),"")</f>
        <v>-0.2352277318</v>
      </c>
      <c r="AB108" s="14" t="str">
        <f>if('Revenue Growth YoY'!AB108&lt;&gt;"",iferror(average('Revenue Growth YoY'!AB105:AB108),""),"")</f>
        <v/>
      </c>
      <c r="AC108" s="14">
        <f>if('Revenue Growth YoY'!AC108&lt;&gt;"",iferror(average('Revenue Growth YoY'!AC105:AC108),""),"")</f>
        <v>0.5185902799</v>
      </c>
      <c r="AD108" s="12"/>
    </row>
    <row r="109">
      <c r="A109" s="15" t="s">
        <v>136</v>
      </c>
      <c r="B109" s="14">
        <f>if('Revenue Growth YoY'!B109&lt;&gt;"",iferror(average('Revenue Growth YoY'!B106:B109),""),"")</f>
        <v>0.2011090161</v>
      </c>
      <c r="C109" s="14">
        <f>if('Revenue Growth YoY'!C109&lt;&gt;"",iferror(average('Revenue Growth YoY'!C106:C109),""),"")</f>
        <v>0.3112798048</v>
      </c>
      <c r="D109" s="14">
        <f>if('Revenue Growth YoY'!D109&lt;&gt;"",iferror(average('Revenue Growth YoY'!D106:D109),""),"")</f>
        <v>0.1187556128</v>
      </c>
      <c r="E109" s="14">
        <f>if('Revenue Growth YoY'!E109&lt;&gt;"",iferror(average('Revenue Growth YoY'!E106:E109),""),"")</f>
        <v>0.8997703419</v>
      </c>
      <c r="F109" s="14">
        <f>if('Revenue Growth YoY'!F109&lt;&gt;"",iferror(average('Revenue Growth YoY'!F106:F109),""),"")</f>
        <v>0.307695631</v>
      </c>
      <c r="G109" s="14">
        <f>if('Revenue Growth YoY'!G109&lt;&gt;"",iferror(average('Revenue Growth YoY'!G106:G109),""),"")</f>
        <v>-0.002944297881</v>
      </c>
      <c r="H109" s="14">
        <f>if('Revenue Growth YoY'!H109&lt;&gt;"",iferror(average('Revenue Growth YoY'!H106:H109),""),"")</f>
        <v>0.223537865</v>
      </c>
      <c r="I109" s="14">
        <f>if('Revenue Growth YoY'!I109&lt;&gt;"",iferror(average('Revenue Growth YoY'!I106:I109),""),"")</f>
        <v>0.2587318675</v>
      </c>
      <c r="J109" s="14">
        <f>if('Revenue Growth YoY'!J109&lt;&gt;"",iferror(average('Revenue Growth YoY'!J106:J109),""),"")</f>
        <v>0.4556622081</v>
      </c>
      <c r="K109" s="14">
        <f>if('Revenue Growth YoY'!K109&lt;&gt;"",iferror(average('Revenue Growth YoY'!K106:K109),""),"")</f>
        <v>0.2534762745</v>
      </c>
      <c r="L109" s="14">
        <f>if('Revenue Growth YoY'!L109&lt;&gt;"",iferror(average('Revenue Growth YoY'!L106:L109),""),"")</f>
        <v>0.6158617334</v>
      </c>
      <c r="M109" s="14">
        <f>if('Revenue Growth YoY'!M109&lt;&gt;"",iferror(average('Revenue Growth YoY'!M106:M109),""),"")</f>
        <v>0.2989427283</v>
      </c>
      <c r="N109" s="14">
        <f>if('Revenue Growth YoY'!N109&lt;&gt;"",iferror(average('Revenue Growth YoY'!N106:N109),""),"")</f>
        <v>0.4344083232</v>
      </c>
      <c r="O109" s="14">
        <f>if('Revenue Growth YoY'!O109&lt;&gt;"",iferror(average('Revenue Growth YoY'!O106:O109),""),"")</f>
        <v>0.8315370698</v>
      </c>
      <c r="P109" s="14">
        <f>if('Revenue Growth YoY'!P109&lt;&gt;"",iferror(average('Revenue Growth YoY'!P106:P109),""),"")</f>
        <v>0.9958913663</v>
      </c>
      <c r="Q109" s="14" t="str">
        <f>if('Revenue Growth YoY'!Q109&lt;&gt;"",iferror(average('Revenue Growth YoY'!Q106:Q109),""),"")</f>
        <v/>
      </c>
      <c r="R109" s="14"/>
      <c r="S109" s="14">
        <f>if('Revenue Growth YoY'!S109&lt;&gt;"",iferror(average('Revenue Growth YoY'!S106:S109),""),"")</f>
        <v>0.3166820918</v>
      </c>
      <c r="T109" s="14">
        <f>if('Revenue Growth YoY'!T109&lt;&gt;"",iferror(average('Revenue Growth YoY'!T106:T109),""),"")</f>
        <v>0.5234104727</v>
      </c>
      <c r="U109" s="14">
        <f>if('Revenue Growth YoY'!U109&lt;&gt;"",iferror(average('Revenue Growth YoY'!U106:U109),""),"")</f>
        <v>0.3544393641</v>
      </c>
      <c r="V109" s="14" t="str">
        <f>if('Revenue Growth YoY'!V109&lt;&gt;"",iferror(average('Revenue Growth YoY'!V106:V109),""),"")</f>
        <v/>
      </c>
      <c r="W109" s="14" t="str">
        <f>if('Revenue Growth YoY'!W109&lt;&gt;"",iferror(average('Revenue Growth YoY'!W106:W109),""),"")</f>
        <v/>
      </c>
      <c r="X109" s="14">
        <f>if('Revenue Growth YoY'!X109&lt;&gt;"",iferror(average('Revenue Growth YoY'!X106:X109),""),"")</f>
        <v>0.8782412719</v>
      </c>
      <c r="Y109" s="14">
        <f>if('Revenue Growth YoY'!Y109&lt;&gt;"",iferror(average('Revenue Growth YoY'!Y106:Y109),""),"")</f>
        <v>0.5153465613</v>
      </c>
      <c r="Z109" s="14">
        <f>if('Revenue Growth YoY'!Z109&lt;&gt;"",iferror(average('Revenue Growth YoY'!Z106:Z109),""),"")</f>
        <v>0.9061628043</v>
      </c>
      <c r="AA109" s="14">
        <f>if('Revenue Growth YoY'!AA109&lt;&gt;"",iferror(average('Revenue Growth YoY'!AA106:AA109),""),"")</f>
        <v>-0.02291754167</v>
      </c>
      <c r="AB109" s="14" t="str">
        <f>if('Revenue Growth YoY'!AB109&lt;&gt;"",iferror(average('Revenue Growth YoY'!AB106:AB109),""),"")</f>
        <v/>
      </c>
      <c r="AC109" s="14">
        <f>if('Revenue Growth YoY'!AC109&lt;&gt;"",iferror(average('Revenue Growth YoY'!AC106:AC109),""),"")</f>
        <v>0.4155441765</v>
      </c>
      <c r="AD109" s="12"/>
    </row>
    <row r="110">
      <c r="A110" s="15" t="s">
        <v>137</v>
      </c>
      <c r="B110" s="14">
        <f>if('Revenue Growth YoY'!B110&lt;&gt;"",iferror(average('Revenue Growth YoY'!B107:B110),""),"")</f>
        <v>0.182305356</v>
      </c>
      <c r="C110" s="14">
        <f>if('Revenue Growth YoY'!C110&lt;&gt;"",iferror(average('Revenue Growth YoY'!C107:C110),""),"")</f>
        <v>0.2670941212</v>
      </c>
      <c r="D110" s="14">
        <f>if('Revenue Growth YoY'!D110&lt;&gt;"",iferror(average('Revenue Growth YoY'!D107:D110),""),"")</f>
        <v>0.1072557977</v>
      </c>
      <c r="E110" s="14">
        <f>if('Revenue Growth YoY'!E110&lt;&gt;"",iferror(average('Revenue Growth YoY'!E107:E110),""),"")</f>
        <v>1.150101159</v>
      </c>
      <c r="F110" s="14">
        <f>if('Revenue Growth YoY'!F110&lt;&gt;"",iferror(average('Revenue Growth YoY'!F107:F110),""),"")</f>
        <v>0.2158994428</v>
      </c>
      <c r="G110" s="14">
        <f>if('Revenue Growth YoY'!G110&lt;&gt;"",iferror(average('Revenue Growth YoY'!G107:G110),""),"")</f>
        <v>-0.07860255386</v>
      </c>
      <c r="H110" s="14">
        <f>if('Revenue Growth YoY'!H110&lt;&gt;"",iferror(average('Revenue Growth YoY'!H107:H110),""),"")</f>
        <v>0.1635490701</v>
      </c>
      <c r="I110" s="14">
        <f>if('Revenue Growth YoY'!I110&lt;&gt;"",iferror(average('Revenue Growth YoY'!I107:I110),""),"")</f>
        <v>0.3164405411</v>
      </c>
      <c r="J110" s="14">
        <f>if('Revenue Growth YoY'!J110&lt;&gt;"",iferror(average('Revenue Growth YoY'!J107:J110),""),"")</f>
        <v>0.3990794555</v>
      </c>
      <c r="K110" s="14">
        <f>if('Revenue Growth YoY'!K110&lt;&gt;"",iferror(average('Revenue Growth YoY'!K107:K110),""),"")</f>
        <v>0.2825629776</v>
      </c>
      <c r="L110" s="14">
        <f>if('Revenue Growth YoY'!L110&lt;&gt;"",iferror(average('Revenue Growth YoY'!L107:L110),""),"")</f>
        <v>0.5764790367</v>
      </c>
      <c r="M110" s="14">
        <f>if('Revenue Growth YoY'!M110&lt;&gt;"",iferror(average('Revenue Growth YoY'!M107:M110),""),"")</f>
        <v>0.6611692845</v>
      </c>
      <c r="N110" s="14">
        <f>if('Revenue Growth YoY'!N110&lt;&gt;"",iferror(average('Revenue Growth YoY'!N107:N110),""),"")</f>
        <v>0.4528820473</v>
      </c>
      <c r="O110" s="14">
        <f>if('Revenue Growth YoY'!O110&lt;&gt;"",iferror(average('Revenue Growth YoY'!O107:O110),""),"")</f>
        <v>0.5643661592</v>
      </c>
      <c r="P110" s="14">
        <f>if('Revenue Growth YoY'!P110&lt;&gt;"",iferror(average('Revenue Growth YoY'!P107:P110),""),"")</f>
        <v>0.530764216</v>
      </c>
      <c r="Q110" s="14" t="str">
        <f>if('Revenue Growth YoY'!Q110&lt;&gt;"",iferror(average('Revenue Growth YoY'!Q107:Q110),""),"")</f>
        <v/>
      </c>
      <c r="R110" s="14"/>
      <c r="S110" s="14">
        <f>if('Revenue Growth YoY'!S110&lt;&gt;"",iferror(average('Revenue Growth YoY'!S107:S110),""),"")</f>
        <v>0.07714297905</v>
      </c>
      <c r="T110" s="14">
        <f>if('Revenue Growth YoY'!T110&lt;&gt;"",iferror(average('Revenue Growth YoY'!T107:T110),""),"")</f>
        <v>0.2685823715</v>
      </c>
      <c r="U110" s="14">
        <f>if('Revenue Growth YoY'!U110&lt;&gt;"",iferror(average('Revenue Growth YoY'!U107:U110),""),"")</f>
        <v>0.3371208613</v>
      </c>
      <c r="V110" s="14" t="str">
        <f>if('Revenue Growth YoY'!V110&lt;&gt;"",iferror(average('Revenue Growth YoY'!V107:V110),""),"")</f>
        <v/>
      </c>
      <c r="W110" s="14" t="str">
        <f>if('Revenue Growth YoY'!W110&lt;&gt;"",iferror(average('Revenue Growth YoY'!W107:W110),""),"")</f>
        <v/>
      </c>
      <c r="X110" s="14">
        <f>if('Revenue Growth YoY'!X110&lt;&gt;"",iferror(average('Revenue Growth YoY'!X107:X110),""),"")</f>
        <v>0.6556025853</v>
      </c>
      <c r="Y110" s="14">
        <f>if('Revenue Growth YoY'!Y110&lt;&gt;"",iferror(average('Revenue Growth YoY'!Y107:Y110),""),"")</f>
        <v>0.2749103349</v>
      </c>
      <c r="Z110" s="14">
        <f>if('Revenue Growth YoY'!Z110&lt;&gt;"",iferror(average('Revenue Growth YoY'!Z107:Z110),""),"")</f>
        <v>0.7987019185</v>
      </c>
      <c r="AA110" s="14">
        <f>if('Revenue Growth YoY'!AA110&lt;&gt;"",iferror(average('Revenue Growth YoY'!AA107:AA110),""),"")</f>
        <v>0.1893926485</v>
      </c>
      <c r="AB110" s="14" t="str">
        <f>if('Revenue Growth YoY'!AB110&lt;&gt;"",iferror(average('Revenue Growth YoY'!AB107:AB110),""),"")</f>
        <v/>
      </c>
      <c r="AC110" s="14">
        <f>if('Revenue Growth YoY'!AC110&lt;&gt;"",iferror(average('Revenue Growth YoY'!AC107:AC110),""),"")</f>
        <v>0.3124980731</v>
      </c>
      <c r="AD110" s="12"/>
    </row>
    <row r="111">
      <c r="A111" s="15" t="s">
        <v>138</v>
      </c>
      <c r="B111" s="14">
        <f>if('Revenue Growth YoY'!B111&lt;&gt;"",iferror(average('Revenue Growth YoY'!B108:B111),""),"")</f>
        <v>0.1756543933</v>
      </c>
      <c r="C111" s="14">
        <f>if('Revenue Growth YoY'!C111&lt;&gt;"",iferror(average('Revenue Growth YoY'!C108:C111),""),"")</f>
        <v>0.2087822315</v>
      </c>
      <c r="D111" s="14">
        <f>if('Revenue Growth YoY'!D111&lt;&gt;"",iferror(average('Revenue Growth YoY'!D108:D111),""),"")</f>
        <v>0.08202615631</v>
      </c>
      <c r="E111" s="14">
        <f>if('Revenue Growth YoY'!E111&lt;&gt;"",iferror(average('Revenue Growth YoY'!E108:E111),""),"")</f>
        <v>0.9413299067</v>
      </c>
      <c r="F111" s="14">
        <f>if('Revenue Growth YoY'!F111&lt;&gt;"",iferror(average('Revenue Growth YoY'!F108:F111),""),"")</f>
        <v>0.128064316</v>
      </c>
      <c r="G111" s="14">
        <f>if('Revenue Growth YoY'!G111&lt;&gt;"",iferror(average('Revenue Growth YoY'!G108:G111),""),"")</f>
        <v>-0.1233470286</v>
      </c>
      <c r="H111" s="14">
        <f>if('Revenue Growth YoY'!H111&lt;&gt;"",iferror(average('Revenue Growth YoY'!H108:H111),""),"")</f>
        <v>0.1284274047</v>
      </c>
      <c r="I111" s="14">
        <f>if('Revenue Growth YoY'!I111&lt;&gt;"",iferror(average('Revenue Growth YoY'!I108:I111),""),"")</f>
        <v>0.2371059274</v>
      </c>
      <c r="J111" s="14">
        <f>if('Revenue Growth YoY'!J111&lt;&gt;"",iferror(average('Revenue Growth YoY'!J108:J111),""),"")</f>
        <v>0.3214427112</v>
      </c>
      <c r="K111" s="14">
        <f>if('Revenue Growth YoY'!K111&lt;&gt;"",iferror(average('Revenue Growth YoY'!K108:K111),""),"")</f>
        <v>0.259706008</v>
      </c>
      <c r="L111" s="14">
        <f>if('Revenue Growth YoY'!L111&lt;&gt;"",iferror(average('Revenue Growth YoY'!L108:L111),""),"")</f>
        <v>0.4514151209</v>
      </c>
      <c r="M111" s="14">
        <f>if('Revenue Growth YoY'!M111&lt;&gt;"",iferror(average('Revenue Growth YoY'!M108:M111),""),"")</f>
        <v>0.6444455687</v>
      </c>
      <c r="N111" s="14">
        <f>if('Revenue Growth YoY'!N111&lt;&gt;"",iferror(average('Revenue Growth YoY'!N108:N111),""),"")</f>
        <v>0.4084505697</v>
      </c>
      <c r="O111" s="14">
        <f>if('Revenue Growth YoY'!O111&lt;&gt;"",iferror(average('Revenue Growth YoY'!O108:O111),""),"")</f>
        <v>0.2971952486</v>
      </c>
      <c r="P111" s="14">
        <f>if('Revenue Growth YoY'!P111&lt;&gt;"",iferror(average('Revenue Growth YoY'!P108:P111),""),"")</f>
        <v>0.06563706564</v>
      </c>
      <c r="Q111" s="14" t="str">
        <f>if('Revenue Growth YoY'!Q111&lt;&gt;"",iferror(average('Revenue Growth YoY'!Q108:Q111),""),"")</f>
        <v/>
      </c>
      <c r="R111" s="14"/>
      <c r="S111" s="14">
        <f>if('Revenue Growth YoY'!S111&lt;&gt;"",iferror(average('Revenue Growth YoY'!S108:S111),""),"")</f>
        <v>-0.001582982838</v>
      </c>
      <c r="T111" s="14">
        <f>if('Revenue Growth YoY'!T111&lt;&gt;"",iferror(average('Revenue Growth YoY'!T108:T111),""),"")</f>
        <v>0.1309138977</v>
      </c>
      <c r="U111" s="14">
        <f>if('Revenue Growth YoY'!U111&lt;&gt;"",iferror(average('Revenue Growth YoY'!U108:U111),""),"")</f>
        <v>0.1029469284</v>
      </c>
      <c r="V111" s="14" t="str">
        <f>if('Revenue Growth YoY'!V111&lt;&gt;"",iferror(average('Revenue Growth YoY'!V108:V111),""),"")</f>
        <v/>
      </c>
      <c r="W111" s="14" t="str">
        <f>if('Revenue Growth YoY'!W111&lt;&gt;"",iferror(average('Revenue Growth YoY'!W108:W111),""),"")</f>
        <v/>
      </c>
      <c r="X111" s="14">
        <f>if('Revenue Growth YoY'!X111&lt;&gt;"",iferror(average('Revenue Growth YoY'!X108:X111),""),"")</f>
        <v>0.4329638987</v>
      </c>
      <c r="Y111" s="14" t="str">
        <f>if('Revenue Growth YoY'!Y111&lt;&gt;"",iferror(average('Revenue Growth YoY'!Y108:Y111),""),"")</f>
        <v/>
      </c>
      <c r="Z111" s="14" t="str">
        <f>if('Revenue Growth YoY'!Z111&lt;&gt;"",iferror(average('Revenue Growth YoY'!Z108:Z111),""),"")</f>
        <v/>
      </c>
      <c r="AA111" s="14" t="str">
        <f>if('Revenue Growth YoY'!AA111&lt;&gt;"",iferror(average('Revenue Growth YoY'!AA108:AA111),""),"")</f>
        <v/>
      </c>
      <c r="AB111" s="14" t="str">
        <f>if('Revenue Growth YoY'!AB111&lt;&gt;"",iferror(average('Revenue Growth YoY'!AB108:AB111),""),"")</f>
        <v/>
      </c>
      <c r="AC111" s="14" t="str">
        <f>if('Revenue Growth YoY'!AC111&lt;&gt;"",iferror(average('Revenue Growth YoY'!AC108:AC111),""),"")</f>
        <v/>
      </c>
      <c r="AD111" s="12"/>
    </row>
    <row r="112">
      <c r="A112" s="15" t="s">
        <v>139</v>
      </c>
      <c r="B112" s="14">
        <f>if('Revenue Growth YoY'!B112&lt;&gt;"",iferror(average('Revenue Growth YoY'!B109:B112),""),"")</f>
        <v>0.1570873597</v>
      </c>
      <c r="C112" s="14">
        <f>if('Revenue Growth YoY'!C112&lt;&gt;"",iferror(average('Revenue Growth YoY'!C109:C112),""),"")</f>
        <v>0.1589513681</v>
      </c>
      <c r="D112" s="14">
        <f>if('Revenue Growth YoY'!D112&lt;&gt;"",iferror(average('Revenue Growth YoY'!D109:D112),""),"")</f>
        <v>0.08300525178</v>
      </c>
      <c r="E112" s="14">
        <f>if('Revenue Growth YoY'!E112&lt;&gt;"",iferror(average('Revenue Growth YoY'!E109:E112),""),"")</f>
        <v>0.5757283464</v>
      </c>
      <c r="F112" s="14">
        <f>if('Revenue Growth YoY'!F112&lt;&gt;"",iferror(average('Revenue Growth YoY'!F109:F112),""),"")</f>
        <v>0.08341946507</v>
      </c>
      <c r="G112" s="14">
        <f>if('Revenue Growth YoY'!G112&lt;&gt;"",iferror(average('Revenue Growth YoY'!G109:G112),""),"")</f>
        <v>-0.1000454862</v>
      </c>
      <c r="H112" s="14">
        <f>if('Revenue Growth YoY'!H112&lt;&gt;"",iferror(average('Revenue Growth YoY'!H109:H112),""),"")</f>
        <v>0.1121485756</v>
      </c>
      <c r="I112" s="14">
        <f>if('Revenue Growth YoY'!I112&lt;&gt;"",iferror(average('Revenue Growth YoY'!I109:I112),""),"")</f>
        <v>0.2087463437</v>
      </c>
      <c r="J112" s="14">
        <f>if('Revenue Growth YoY'!J112&lt;&gt;"",iferror(average('Revenue Growth YoY'!J109:J112),""),"")</f>
        <v>0.3002993223</v>
      </c>
      <c r="K112" s="14">
        <f>if('Revenue Growth YoY'!K112&lt;&gt;"",iferror(average('Revenue Growth YoY'!K109:K112),""),"")</f>
        <v>0.2477388602</v>
      </c>
      <c r="L112" s="14">
        <f>if('Revenue Growth YoY'!L112&lt;&gt;"",iferror(average('Revenue Growth YoY'!L109:L112),""),"")</f>
        <v>0.3783661534</v>
      </c>
      <c r="M112" s="14">
        <f>if('Revenue Growth YoY'!M112&lt;&gt;"",iferror(average('Revenue Growth YoY'!M109:M112),""),"")</f>
        <v>0.6924294397</v>
      </c>
      <c r="N112" s="14">
        <f>if('Revenue Growth YoY'!N112&lt;&gt;"",iferror(average('Revenue Growth YoY'!N109:N112),""),"")</f>
        <v>0.4647303024</v>
      </c>
      <c r="O112" s="14" t="str">
        <f>if('Revenue Growth YoY'!O112&lt;&gt;"",iferror(average('Revenue Growth YoY'!O109:O112),""),"")</f>
        <v/>
      </c>
      <c r="P112" s="14">
        <f>if('Revenue Growth YoY'!P112&lt;&gt;"",iferror(average('Revenue Growth YoY'!P109:P112),""),"")</f>
        <v>0.08346256092</v>
      </c>
      <c r="Q112" s="14" t="str">
        <f>if('Revenue Growth YoY'!Q112&lt;&gt;"",iferror(average('Revenue Growth YoY'!Q109:Q112),""),"")</f>
        <v/>
      </c>
      <c r="R112" s="14"/>
      <c r="S112" s="14">
        <f>if('Revenue Growth YoY'!S112&lt;&gt;"",iferror(average('Revenue Growth YoY'!S109:S112),""),"")</f>
        <v>-0.06924720511</v>
      </c>
      <c r="T112" s="14">
        <f>if('Revenue Growth YoY'!T112&lt;&gt;"",iferror(average('Revenue Growth YoY'!T109:T112),""),"")</f>
        <v>0.09028030722</v>
      </c>
      <c r="U112" s="14">
        <f>if('Revenue Growth YoY'!U112&lt;&gt;"",iferror(average('Revenue Growth YoY'!U109:U112),""),"")</f>
        <v>0.04073902039</v>
      </c>
      <c r="V112" s="14" t="str">
        <f>if('Revenue Growth YoY'!V112&lt;&gt;"",iferror(average('Revenue Growth YoY'!V109:V112),""),"")</f>
        <v/>
      </c>
      <c r="W112" s="14" t="str">
        <f>if('Revenue Growth YoY'!W112&lt;&gt;"",iferror(average('Revenue Growth YoY'!W109:W112),""),"")</f>
        <v/>
      </c>
      <c r="X112" s="14">
        <f>if('Revenue Growth YoY'!X112&lt;&gt;"",iferror(average('Revenue Growth YoY'!X109:X112),""),"")</f>
        <v>0.2103252121</v>
      </c>
      <c r="Y112" s="14" t="str">
        <f>if('Revenue Growth YoY'!Y112&lt;&gt;"",iferror(average('Revenue Growth YoY'!Y109:Y112),""),"")</f>
        <v/>
      </c>
      <c r="Z112" s="14" t="str">
        <f>if('Revenue Growth YoY'!Z112&lt;&gt;"",iferror(average('Revenue Growth YoY'!Z109:Z112),""),"")</f>
        <v/>
      </c>
      <c r="AA112" s="14" t="str">
        <f>if('Revenue Growth YoY'!AA112&lt;&gt;"",iferror(average('Revenue Growth YoY'!AA109:AA112),""),"")</f>
        <v/>
      </c>
      <c r="AB112" s="14" t="str">
        <f>if('Revenue Growth YoY'!AB112&lt;&gt;"",iferror(average('Revenue Growth YoY'!AB109:AB112),""),"")</f>
        <v/>
      </c>
      <c r="AC112" s="14" t="str">
        <f>if('Revenue Growth YoY'!AC112&lt;&gt;"",iferror(average('Revenue Growth YoY'!AC109:AC112),""),"")</f>
        <v/>
      </c>
      <c r="AD112" s="12"/>
    </row>
    <row r="113">
      <c r="A113" s="15" t="s">
        <v>140</v>
      </c>
      <c r="B113" s="14">
        <f>if('Revenue Growth YoY'!B113&lt;&gt;"",iferror(average('Revenue Growth YoY'!B110:B113),""),"")</f>
        <v>0.1373138364</v>
      </c>
      <c r="C113" s="14">
        <f>if('Revenue Growth YoY'!C113&lt;&gt;"",iferror(average('Revenue Growth YoY'!C110:C113),""),"")</f>
        <v>0.1279426223</v>
      </c>
      <c r="D113" s="14">
        <f>if('Revenue Growth YoY'!D113&lt;&gt;"",iferror(average('Revenue Growth YoY'!D110:D113),""),"")</f>
        <v>0.06992595063</v>
      </c>
      <c r="E113" s="14">
        <f>if('Revenue Growth YoY'!E113&lt;&gt;"",iferror(average('Revenue Growth YoY'!E110:E113),""),"")</f>
        <v>0.389800115</v>
      </c>
      <c r="F113" s="14">
        <f>if('Revenue Growth YoY'!F113&lt;&gt;"",iferror(average('Revenue Growth YoY'!F110:F113),""),"")</f>
        <v>0.04264541102</v>
      </c>
      <c r="G113" s="14">
        <f>if('Revenue Growth YoY'!G113&lt;&gt;"",iferror(average('Revenue Growth YoY'!G110:G113),""),"")</f>
        <v>-0.08352979274</v>
      </c>
      <c r="H113" s="14">
        <f>if('Revenue Growth YoY'!H113&lt;&gt;"",iferror(average('Revenue Growth YoY'!H110:H113),""),"")</f>
        <v>0.06393289671</v>
      </c>
      <c r="I113" s="14">
        <f>if('Revenue Growth YoY'!I113&lt;&gt;"",iferror(average('Revenue Growth YoY'!I110:I113),""),"")</f>
        <v>0.1751129222</v>
      </c>
      <c r="J113" s="14">
        <f>if('Revenue Growth YoY'!J113&lt;&gt;"",iferror(average('Revenue Growth YoY'!J110:J113),""),"")</f>
        <v>0.2916882308</v>
      </c>
      <c r="K113" s="14">
        <f>if('Revenue Growth YoY'!K113&lt;&gt;"",iferror(average('Revenue Growth YoY'!K110:K113),""),"")</f>
        <v>0.2448354506</v>
      </c>
      <c r="L113" s="14">
        <f>if('Revenue Growth YoY'!L113&lt;&gt;"",iferror(average('Revenue Growth YoY'!L110:L113),""),"")</f>
        <v>0.3399526438</v>
      </c>
      <c r="M113" s="14">
        <f>if('Revenue Growth YoY'!M113&lt;&gt;"",iferror(average('Revenue Growth YoY'!M110:M113),""),"")</f>
        <v>0.5486035465</v>
      </c>
      <c r="N113" s="14">
        <f>if('Revenue Growth YoY'!N113&lt;&gt;"",iferror(average('Revenue Growth YoY'!N110:N113),""),"")</f>
        <v>0.5694854407</v>
      </c>
      <c r="O113" s="14" t="str">
        <f>if('Revenue Growth YoY'!O113&lt;&gt;"",iferror(average('Revenue Growth YoY'!O110:O113),""),"")</f>
        <v/>
      </c>
      <c r="P113" s="14">
        <f>if('Revenue Growth YoY'!P113&lt;&gt;"",iferror(average('Revenue Growth YoY'!P110:P113),""),"")</f>
        <v>0.1012880562</v>
      </c>
      <c r="Q113" s="14" t="str">
        <f>if('Revenue Growth YoY'!Q113&lt;&gt;"",iferror(average('Revenue Growth YoY'!Q110:Q113),""),"")</f>
        <v/>
      </c>
      <c r="R113" s="14"/>
      <c r="S113" s="14">
        <f>if('Revenue Growth YoY'!S113&lt;&gt;"",iferror(average('Revenue Growth YoY'!S110:S113),""),"")</f>
        <v>-0.07652116129</v>
      </c>
      <c r="T113" s="14">
        <f>if('Revenue Growth YoY'!T113&lt;&gt;"",iferror(average('Revenue Growth YoY'!T110:T113),""),"")</f>
        <v>0.02560316685</v>
      </c>
      <c r="U113" s="14">
        <f>if('Revenue Growth YoY'!U113&lt;&gt;"",iferror(average('Revenue Growth YoY'!U110:U113),""),"")</f>
        <v>0.3801704796</v>
      </c>
      <c r="V113" s="14" t="str">
        <f>if('Revenue Growth YoY'!V113&lt;&gt;"",iferror(average('Revenue Growth YoY'!V110:V113),""),"")</f>
        <v/>
      </c>
      <c r="W113" s="14" t="str">
        <f>if('Revenue Growth YoY'!W113&lt;&gt;"",iferror(average('Revenue Growth YoY'!W110:W113),""),"")</f>
        <v/>
      </c>
      <c r="X113" s="14" t="str">
        <f>if('Revenue Growth YoY'!X113&lt;&gt;"",iferror(average('Revenue Growth YoY'!X110:X113),""),"")</f>
        <v/>
      </c>
      <c r="Y113" s="14" t="str">
        <f>if('Revenue Growth YoY'!Y113&lt;&gt;"",iferror(average('Revenue Growth YoY'!Y110:Y113),""),"")</f>
        <v/>
      </c>
      <c r="Z113" s="14" t="str">
        <f>if('Revenue Growth YoY'!Z113&lt;&gt;"",iferror(average('Revenue Growth YoY'!Z110:Z113),""),"")</f>
        <v/>
      </c>
      <c r="AA113" s="14" t="str">
        <f>if('Revenue Growth YoY'!AA113&lt;&gt;"",iferror(average('Revenue Growth YoY'!AA110:AA113),""),"")</f>
        <v/>
      </c>
      <c r="AB113" s="14" t="str">
        <f>if('Revenue Growth YoY'!AB113&lt;&gt;"",iferror(average('Revenue Growth YoY'!AB110:AB113),""),"")</f>
        <v/>
      </c>
      <c r="AC113" s="14" t="str">
        <f>if('Revenue Growth YoY'!AC113&lt;&gt;"",iferror(average('Revenue Growth YoY'!AC110:AC113),""),"")</f>
        <v/>
      </c>
      <c r="AD113" s="12"/>
    </row>
    <row r="114">
      <c r="A114" s="19" t="s">
        <v>141</v>
      </c>
      <c r="B114" s="20">
        <f>if('Revenue Growth YoY'!B114&lt;&gt;"",iferror(average('Revenue Growth YoY'!B111:B114),""),"")</f>
        <v>0.1253097194</v>
      </c>
      <c r="C114" s="20">
        <f>if('Revenue Growth YoY'!C114&lt;&gt;"",iferror(average('Revenue Growth YoY'!C111:C114),""),"")</f>
        <v>0.1184619663</v>
      </c>
      <c r="D114" s="21">
        <v>0.103</v>
      </c>
      <c r="E114" s="20">
        <f>if('Revenue Growth YoY'!E114&lt;&gt;"",iferror(average('Revenue Growth YoY'!E111:E114),""),"")</f>
        <v>0.1914790439</v>
      </c>
      <c r="F114" s="20">
        <f>if('Revenue Growth YoY'!F114&lt;&gt;"",iferror(average('Revenue Growth YoY'!F111:F114),""),"")</f>
        <v>0.03068322067</v>
      </c>
      <c r="G114" s="21">
        <v>0.034</v>
      </c>
      <c r="H114" s="20">
        <f>if('Revenue Growth YoY'!H114&lt;&gt;"",iferror(average('Revenue Growth YoY'!H111:H114),""),"")</f>
        <v>0.05724626607</v>
      </c>
      <c r="I114" s="20">
        <f>if('Revenue Growth YoY'!I114&lt;&gt;"",iferror(average('Revenue Growth YoY'!I111:I114),""),"")</f>
        <v>-0.1747173673</v>
      </c>
      <c r="J114" s="21">
        <v>0.294</v>
      </c>
      <c r="K114" s="21">
        <v>0.431</v>
      </c>
      <c r="L114" s="20">
        <f>if('Revenue Growth YoY'!L114&lt;&gt;"",iferror(average('Revenue Growth YoY'!L111:L114),""),"")</f>
        <v>-0.005666502813</v>
      </c>
      <c r="M114" s="20">
        <f>if('Revenue Growth YoY'!M114&lt;&gt;"",iferror(average('Revenue Growth YoY'!M111:M114),""),"")</f>
        <v>-0.01156323174</v>
      </c>
      <c r="N114" s="21">
        <v>0.679</v>
      </c>
      <c r="O114" s="20" t="str">
        <f>if('Revenue Growth YoY'!O114&lt;&gt;"",iferror(average('Revenue Growth YoY'!O111:O114),""),"")</f>
        <v/>
      </c>
      <c r="P114" s="20">
        <f>if('Revenue Growth YoY'!P114&lt;&gt;"",iferror(average('Revenue Growth YoY'!P111:P114),""),"")</f>
        <v>-0.1665690867</v>
      </c>
      <c r="Q114" s="20" t="str">
        <f>if('Revenue Growth YoY'!Q114&lt;&gt;"",iferror(average('Revenue Growth YoY'!Q111:Q114),""),"")</f>
        <v/>
      </c>
      <c r="R114" s="22"/>
      <c r="S114" s="22">
        <f>if('Revenue Growth YoY'!S114&lt;&gt;"",iferror(average('Revenue Growth YoY'!S111:S114),""),"")</f>
        <v>-0.01571019365</v>
      </c>
      <c r="T114" s="22">
        <f>if('Revenue Growth YoY'!T114&lt;&gt;"",iferror(average('Revenue Growth YoY'!T111:T114),""),"")</f>
        <v>-0.01533707907</v>
      </c>
      <c r="U114" s="22">
        <f>if('Revenue Growth YoY'!U114&lt;&gt;"",iferror(average('Revenue Growth YoY'!U111:U114),""),"")</f>
        <v>0.5877505028</v>
      </c>
      <c r="V114" s="22" t="str">
        <f>if('Revenue Growth YoY'!V114&lt;&gt;"",iferror(average('Revenue Growth YoY'!V111:V114),""),"")</f>
        <v/>
      </c>
      <c r="W114" s="22" t="str">
        <f>if('Revenue Growth YoY'!W114&lt;&gt;"",iferror(average('Revenue Growth YoY'!W111:W114),""),"")</f>
        <v/>
      </c>
      <c r="X114" s="22" t="str">
        <f>if('Revenue Growth YoY'!X114&lt;&gt;"",iferror(average('Revenue Growth YoY'!X111:X114),""),"")</f>
        <v/>
      </c>
      <c r="Y114" s="22" t="str">
        <f>if('Revenue Growth YoY'!Y114&lt;&gt;"",iferror(average('Revenue Growth YoY'!Y111:Y114),""),"")</f>
        <v/>
      </c>
      <c r="Z114" s="22" t="str">
        <f>if('Revenue Growth YoY'!Z114&lt;&gt;"",iferror(average('Revenue Growth YoY'!Z111:Z114),""),"")</f>
        <v/>
      </c>
      <c r="AA114" s="22" t="str">
        <f>if('Revenue Growth YoY'!AA114&lt;&gt;"",iferror(average('Revenue Growth YoY'!AA111:AA114),""),"")</f>
        <v/>
      </c>
      <c r="AB114" s="22" t="str">
        <f>if('Revenue Growth YoY'!AB114&lt;&gt;"",iferror(average('Revenue Growth YoY'!AB111:AB114),""),"")</f>
        <v/>
      </c>
      <c r="AC114" s="22" t="str">
        <f>if('Revenue Growth YoY'!AC114&lt;&gt;"",iferror(average('Revenue Growth YoY'!AC111:AC114),""),"")</f>
        <v/>
      </c>
      <c r="AD114" s="23"/>
    </row>
    <row r="115">
      <c r="A115" s="12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2"/>
      <c r="W115" s="12"/>
      <c r="X115" s="12"/>
      <c r="Y115" s="12"/>
      <c r="Z115" s="12"/>
      <c r="AA115" s="12"/>
      <c r="AB115" s="12"/>
      <c r="AC115" s="12"/>
      <c r="AD115" s="12"/>
    </row>
    <row r="116">
      <c r="A116" s="15" t="s">
        <v>142</v>
      </c>
      <c r="B116" s="24">
        <v>-6.0</v>
      </c>
      <c r="C116" s="24">
        <v>-5.0</v>
      </c>
      <c r="D116" s="24">
        <v>-4.0</v>
      </c>
      <c r="E116" s="24">
        <v>-3.0</v>
      </c>
      <c r="F116" s="24">
        <v>-2.0</v>
      </c>
      <c r="G116" s="24">
        <v>-1.0</v>
      </c>
      <c r="H116" s="24">
        <v>0.0</v>
      </c>
      <c r="I116" s="24">
        <v>1.0</v>
      </c>
      <c r="J116" s="24">
        <v>2.0</v>
      </c>
      <c r="K116" s="24">
        <v>3.0</v>
      </c>
      <c r="L116" s="24">
        <v>4.0</v>
      </c>
      <c r="M116" s="24">
        <v>5.0</v>
      </c>
      <c r="N116" s="24">
        <v>6.0</v>
      </c>
      <c r="O116" s="24">
        <v>7.0</v>
      </c>
      <c r="P116" s="17"/>
      <c r="Q116" s="17"/>
      <c r="R116" s="17"/>
      <c r="S116" s="17"/>
      <c r="T116" s="17"/>
      <c r="U116" s="17"/>
      <c r="V116" s="12"/>
      <c r="W116" s="12"/>
      <c r="X116" s="12"/>
      <c r="Y116" s="12"/>
      <c r="Z116" s="12"/>
      <c r="AA116" s="12"/>
      <c r="AB116" s="12"/>
      <c r="AC116" s="12"/>
      <c r="AD116" s="12"/>
    </row>
    <row r="117">
      <c r="A117" s="15" t="s">
        <v>30</v>
      </c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2"/>
      <c r="W117" s="12"/>
      <c r="X117" s="14" t="str">
        <f>iferror(average(#REF!),"")</f>
        <v/>
      </c>
      <c r="Y117" s="12"/>
      <c r="Z117" s="12"/>
      <c r="AA117" s="12"/>
      <c r="AB117" s="12"/>
      <c r="AC117" s="12"/>
      <c r="AD117" s="12"/>
    </row>
    <row r="118">
      <c r="A118" s="15" t="s">
        <v>31</v>
      </c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2"/>
      <c r="W118" s="12"/>
      <c r="X118" s="14"/>
      <c r="Y118" s="12"/>
      <c r="Z118" s="12"/>
      <c r="AA118" s="12"/>
      <c r="AB118" s="12"/>
      <c r="AC118" s="12"/>
      <c r="AD118" s="12"/>
    </row>
    <row r="119">
      <c r="A119" s="15" t="s">
        <v>32</v>
      </c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2"/>
      <c r="W119" s="12"/>
      <c r="X119" s="14"/>
      <c r="Y119" s="12"/>
      <c r="Z119" s="12"/>
      <c r="AA119" s="12"/>
      <c r="AB119" s="12"/>
      <c r="AC119" s="12"/>
      <c r="AD119" s="12"/>
    </row>
    <row r="120">
      <c r="A120" s="15" t="s">
        <v>33</v>
      </c>
      <c r="B120" s="14" t="str">
        <f>iferror(average(EBITDA_MARGIN!B3:B6),"")</f>
        <v/>
      </c>
      <c r="C120" s="14" t="str">
        <f>iferror(average(EBITDA_MARGIN!C3:C6),"")</f>
        <v/>
      </c>
      <c r="D120" s="14"/>
      <c r="E120" s="14" t="str">
        <f>iferror(average(EBITDA_MARGIN!E3:E6),"")</f>
        <v/>
      </c>
      <c r="F120" s="14" t="str">
        <f>iferror(average(EBITDA_MARGIN!F3:F6),"")</f>
        <v/>
      </c>
      <c r="G120" s="14" t="str">
        <f>iferror(average(EBITDA_MARGIN!G3:G6),"")</f>
        <v/>
      </c>
      <c r="H120" s="14" t="str">
        <f>iferror(average(EBITDA_MARGIN!H3:H6),"")</f>
        <v/>
      </c>
      <c r="I120" s="14" t="str">
        <f>iferror(average(EBITDA_MARGIN!I3:I6),"")</f>
        <v/>
      </c>
      <c r="J120" s="14" t="str">
        <f>iferror(average(EBITDA_MARGIN!J3:J6),"")</f>
        <v/>
      </c>
      <c r="K120" s="14"/>
      <c r="L120" s="14" t="str">
        <f>iferror(average(EBITDA_MARGIN!L3:L6),"")</f>
        <v/>
      </c>
      <c r="M120" s="14" t="str">
        <f>iferror(average(EBITDA_MARGIN!M3:M6),"")</f>
        <v/>
      </c>
      <c r="N120" s="14" t="str">
        <f>iferror(average(EBITDA_MARGIN!N3:N6),"")</f>
        <v/>
      </c>
      <c r="O120" s="14" t="str">
        <f>iferror(average(EBITDA_MARGIN!O3:O6),"")</f>
        <v/>
      </c>
      <c r="P120" s="14" t="str">
        <f>iferror(average(EBITDA_MARGIN!P3:P6),"")</f>
        <v/>
      </c>
      <c r="Q120" s="14" t="str">
        <f>iferror(average(EBITDA_MARGIN!Q3:Q6),"")</f>
        <v/>
      </c>
      <c r="R120" s="14"/>
      <c r="S120" s="14" t="str">
        <f>iferror(average(EBITDA_MARGIN!S3:S6),"")</f>
        <v/>
      </c>
      <c r="T120" s="14" t="str">
        <f>iferror(average(EBITDA_MARGIN!T3:T6),"")</f>
        <v/>
      </c>
      <c r="U120" s="14" t="str">
        <f>iferror(average(EBITDA_MARGIN!U3:U6),"")</f>
        <v/>
      </c>
      <c r="V120" s="14" t="str">
        <f>iferror(average(EBITDA_MARGIN!V3:V6),"")</f>
        <v/>
      </c>
      <c r="W120" s="14">
        <f>iferror(average(EBITDA_MARGIN!W3:W6),"")</f>
        <v>-2.0157209</v>
      </c>
      <c r="X120" s="25">
        <f>iferror(average(EBITDA_MARGIN!X3:X6),"")</f>
        <v>0.02040642307</v>
      </c>
      <c r="Y120" s="25" t="str">
        <f>iferror(average(EBITDA_MARGIN!Y3:Y6),"")</f>
        <v/>
      </c>
      <c r="Z120" s="25" t="str">
        <f>iferror(average(EBITDA_MARGIN!Z3:Z6),"")</f>
        <v/>
      </c>
      <c r="AA120" s="25" t="str">
        <f>iferror(average(EBITDA_MARGIN!AA3:AA6),"")</f>
        <v/>
      </c>
      <c r="AB120" s="25" t="str">
        <f>iferror(average(EBITDA_MARGIN!AB3:AB6),"")</f>
        <v/>
      </c>
      <c r="AC120" s="25" t="str">
        <f>iferror(average(EBITDA_MARGIN!AC3:AC6),"")</f>
        <v/>
      </c>
      <c r="AD120" s="12"/>
    </row>
    <row r="121">
      <c r="A121" s="15" t="s">
        <v>34</v>
      </c>
      <c r="B121" s="14" t="str">
        <f>iferror(average(EBITDA_MARGIN!B4:B7),"")</f>
        <v/>
      </c>
      <c r="C121" s="14" t="str">
        <f>B123</f>
        <v/>
      </c>
      <c r="D121" s="14">
        <f>iferror(average(EBITDA_MARGIN!D4:D7),"")</f>
        <v>-8.296770827</v>
      </c>
      <c r="E121" s="14" t="str">
        <f>iferror(average(EBITDA_MARGIN!E4:E7),"")</f>
        <v/>
      </c>
      <c r="F121" s="14" t="str">
        <f>iferror(average(EBITDA_MARGIN!F4:F7),"")</f>
        <v/>
      </c>
      <c r="G121" s="14" t="str">
        <f>iferror(average(EBITDA_MARGIN!G4:G7),"")</f>
        <v/>
      </c>
      <c r="H121" s="14" t="str">
        <f>iferror(average(EBITDA_MARGIN!H4:H7),"")</f>
        <v/>
      </c>
      <c r="I121" s="14" t="str">
        <f>iferror(average(EBITDA_MARGIN!I4:I7),"")</f>
        <v/>
      </c>
      <c r="J121" s="14" t="str">
        <f>iferror(average(EBITDA_MARGIN!J4:J7),"")</f>
        <v/>
      </c>
      <c r="K121" s="14"/>
      <c r="L121" s="14" t="str">
        <f>iferror(average(EBITDA_MARGIN!L4:L7),"")</f>
        <v/>
      </c>
      <c r="M121" s="14" t="str">
        <f>iferror(average(EBITDA_MARGIN!M4:M7),"")</f>
        <v/>
      </c>
      <c r="N121" s="14" t="str">
        <f>iferror(average(EBITDA_MARGIN!N4:N7),"")</f>
        <v/>
      </c>
      <c r="O121" s="14" t="str">
        <f>iferror(average(EBITDA_MARGIN!O4:O7),"")</f>
        <v/>
      </c>
      <c r="P121" s="14" t="str">
        <f>iferror(average(EBITDA_MARGIN!P4:P7),"")</f>
        <v/>
      </c>
      <c r="Q121" s="14" t="str">
        <f>iferror(average(EBITDA_MARGIN!Q4:Q7),"")</f>
        <v/>
      </c>
      <c r="R121" s="14"/>
      <c r="S121" s="14" t="str">
        <f>iferror(average(EBITDA_MARGIN!S4:S7),"")</f>
        <v/>
      </c>
      <c r="T121" s="14" t="str">
        <f>iferror(average(EBITDA_MARGIN!T4:T7),"")</f>
        <v/>
      </c>
      <c r="U121" s="14" t="str">
        <f>iferror(average(EBITDA_MARGIN!U4:U7),"")</f>
        <v/>
      </c>
      <c r="V121" s="14" t="str">
        <f>iferror(average(EBITDA_MARGIN!V4:V7),"")</f>
        <v/>
      </c>
      <c r="W121" s="14">
        <f>iferror(average(EBITDA_MARGIN!W4:W7),"")</f>
        <v>-1.762285072</v>
      </c>
      <c r="X121" s="25">
        <f>iferror(average(EBITDA_MARGIN!X4:X7),"")</f>
        <v>0.0212091067</v>
      </c>
      <c r="Y121" s="25" t="str">
        <f>iferror(average(EBITDA_MARGIN!Y4:Y7),"")</f>
        <v/>
      </c>
      <c r="Z121" s="25" t="str">
        <f>iferror(average(EBITDA_MARGIN!Z4:Z7),"")</f>
        <v/>
      </c>
      <c r="AA121" s="25" t="str">
        <f>iferror(average(EBITDA_MARGIN!AA4:AA7),"")</f>
        <v/>
      </c>
      <c r="AB121" s="25" t="str">
        <f>iferror(average(EBITDA_MARGIN!AB4:AB7),"")</f>
        <v/>
      </c>
      <c r="AC121" s="25" t="str">
        <f>iferror(average(EBITDA_MARGIN!AC4:AC7),"")</f>
        <v/>
      </c>
      <c r="AD121" s="12"/>
    </row>
    <row r="122">
      <c r="A122" s="15" t="s">
        <v>35</v>
      </c>
      <c r="B122" s="14" t="str">
        <f>iferror(average(EBITDA_MARGIN!B5:B8),"")</f>
        <v/>
      </c>
      <c r="C122" s="14"/>
      <c r="D122" s="14">
        <f>iferror(average(EBITDA_MARGIN!D5:D8),"")</f>
        <v>-6.22373859</v>
      </c>
      <c r="E122" s="14" t="str">
        <f>iferror(average(EBITDA_MARGIN!E5:E8),"")</f>
        <v/>
      </c>
      <c r="F122" s="14" t="str">
        <f>iferror(average(EBITDA_MARGIN!F5:F8),"")</f>
        <v/>
      </c>
      <c r="G122" s="14" t="str">
        <f>iferror(average(EBITDA_MARGIN!G5:G8),"")</f>
        <v/>
      </c>
      <c r="H122" s="14" t="str">
        <f>iferror(average(EBITDA_MARGIN!H5:H8),"")</f>
        <v/>
      </c>
      <c r="I122" s="14" t="str">
        <f>iferror(average(EBITDA_MARGIN!I5:I8),"")</f>
        <v/>
      </c>
      <c r="J122" s="14" t="str">
        <f>iferror(average(EBITDA_MARGIN!J5:J8),"")</f>
        <v/>
      </c>
      <c r="K122" s="14"/>
      <c r="L122" s="14" t="str">
        <f>iferror(average(EBITDA_MARGIN!L5:L8),"")</f>
        <v/>
      </c>
      <c r="M122" s="14" t="str">
        <f>iferror(average(EBITDA_MARGIN!M5:M8),"")</f>
        <v/>
      </c>
      <c r="N122" s="14" t="str">
        <f>iferror(average(EBITDA_MARGIN!N5:N8),"")</f>
        <v/>
      </c>
      <c r="O122" s="14" t="str">
        <f>iferror(average(EBITDA_MARGIN!O5:O8),"")</f>
        <v/>
      </c>
      <c r="P122" s="14" t="str">
        <f>iferror(average(EBITDA_MARGIN!P5:P8),"")</f>
        <v/>
      </c>
      <c r="Q122" s="14" t="str">
        <f>iferror(average(EBITDA_MARGIN!Q5:Q8),"")</f>
        <v/>
      </c>
      <c r="R122" s="14"/>
      <c r="S122" s="14" t="str">
        <f>iferror(average(EBITDA_MARGIN!S5:S8),"")</f>
        <v/>
      </c>
      <c r="T122" s="14" t="str">
        <f>iferror(average(EBITDA_MARGIN!T5:T8),"")</f>
        <v/>
      </c>
      <c r="U122" s="14" t="str">
        <f>iferror(average(EBITDA_MARGIN!U5:U8),"")</f>
        <v/>
      </c>
      <c r="V122" s="14" t="str">
        <f>iferror(average(EBITDA_MARGIN!V5:V8),"")</f>
        <v/>
      </c>
      <c r="W122" s="14">
        <f>iferror(average(EBITDA_MARGIN!W5:W8),"")</f>
        <v>-1.508849244</v>
      </c>
      <c r="X122" s="25">
        <f>iferror(average(EBITDA_MARGIN!X5:X8),"")</f>
        <v>0.02201179033</v>
      </c>
      <c r="Y122" s="25" t="str">
        <f>iferror(average(EBITDA_MARGIN!Y5:Y8),"")</f>
        <v/>
      </c>
      <c r="Z122" s="25" t="str">
        <f>iferror(average(EBITDA_MARGIN!Z5:Z8),"")</f>
        <v/>
      </c>
      <c r="AA122" s="25" t="str">
        <f>iferror(average(EBITDA_MARGIN!AA5:AA8),"")</f>
        <v/>
      </c>
      <c r="AB122" s="25" t="str">
        <f>iferror(average(EBITDA_MARGIN!AB5:AB8),"")</f>
        <v/>
      </c>
      <c r="AC122" s="25" t="str">
        <f>iferror(average(EBITDA_MARGIN!AC5:AC8),"")</f>
        <v/>
      </c>
      <c r="AD122" s="12"/>
    </row>
    <row r="123">
      <c r="A123" s="15" t="s">
        <v>36</v>
      </c>
      <c r="B123" s="14" t="str">
        <f>iferror(average(EBITDA_MARGIN!B6:B9),"")</f>
        <v/>
      </c>
      <c r="C123" s="14"/>
      <c r="D123" s="14">
        <f>iferror(average(EBITDA_MARGIN!D6:D9),"")</f>
        <v>-4.150706353</v>
      </c>
      <c r="E123" s="14" t="str">
        <f>iferror(average(EBITDA_MARGIN!E6:E9),"")</f>
        <v/>
      </c>
      <c r="F123" s="14" t="str">
        <f>iferror(average(EBITDA_MARGIN!F6:F9),"")</f>
        <v/>
      </c>
      <c r="G123" s="14" t="str">
        <f>iferror(average(EBITDA_MARGIN!G6:G9),"")</f>
        <v/>
      </c>
      <c r="H123" s="14" t="str">
        <f>iferror(average(EBITDA_MARGIN!H6:H9),"")</f>
        <v/>
      </c>
      <c r="I123" s="14" t="str">
        <f>iferror(average(EBITDA_MARGIN!I6:I9),"")</f>
        <v/>
      </c>
      <c r="J123" s="14" t="str">
        <f>iferror(average(EBITDA_MARGIN!J6:J9),"")</f>
        <v/>
      </c>
      <c r="K123" s="14"/>
      <c r="L123" s="14" t="str">
        <f>iferror(average(EBITDA_MARGIN!L6:L9),"")</f>
        <v/>
      </c>
      <c r="M123" s="14" t="str">
        <f>iferror(average(EBITDA_MARGIN!M6:M9),"")</f>
        <v/>
      </c>
      <c r="N123" s="14" t="str">
        <f>iferror(average(EBITDA_MARGIN!N6:N9),"")</f>
        <v/>
      </c>
      <c r="O123" s="14" t="str">
        <f>iferror(average(EBITDA_MARGIN!O6:O9),"")</f>
        <v/>
      </c>
      <c r="P123" s="14" t="str">
        <f>iferror(average(EBITDA_MARGIN!P6:P9),"")</f>
        <v/>
      </c>
      <c r="Q123" s="14" t="str">
        <f>iferror(average(EBITDA_MARGIN!Q6:Q9),"")</f>
        <v/>
      </c>
      <c r="R123" s="14"/>
      <c r="S123" s="14" t="str">
        <f>iferror(average(EBITDA_MARGIN!S6:S9),"")</f>
        <v/>
      </c>
      <c r="T123" s="14" t="str">
        <f>iferror(average(EBITDA_MARGIN!T6:T9),"")</f>
        <v/>
      </c>
      <c r="U123" s="14" t="str">
        <f>iferror(average(EBITDA_MARGIN!U6:U9),"")</f>
        <v/>
      </c>
      <c r="V123" s="14" t="str">
        <f>iferror(average(EBITDA_MARGIN!V6:V9),"")</f>
        <v/>
      </c>
      <c r="W123" s="14">
        <f>iferror(average(EBITDA_MARGIN!W6:W9),"")</f>
        <v>-1.255413416</v>
      </c>
      <c r="X123" s="25">
        <f>iferror(average(EBITDA_MARGIN!X6:X9),"")</f>
        <v>0.02081528236</v>
      </c>
      <c r="Y123" s="25" t="str">
        <f>iferror(average(EBITDA_MARGIN!Y6:Y9),"")</f>
        <v/>
      </c>
      <c r="Z123" s="25" t="str">
        <f>iferror(average(EBITDA_MARGIN!Z6:Z9),"")</f>
        <v/>
      </c>
      <c r="AA123" s="25" t="str">
        <f>iferror(average(EBITDA_MARGIN!AA6:AA9),"")</f>
        <v/>
      </c>
      <c r="AB123" s="25" t="str">
        <f>iferror(average(EBITDA_MARGIN!AB6:AB9),"")</f>
        <v/>
      </c>
      <c r="AC123" s="25" t="str">
        <f>iferror(average(EBITDA_MARGIN!AC6:AC9),"")</f>
        <v/>
      </c>
      <c r="AD123" s="12"/>
    </row>
    <row r="124">
      <c r="A124" s="15" t="s">
        <v>37</v>
      </c>
      <c r="B124" s="14" t="str">
        <f>iferror(average(EBITDA_MARGIN!B7:B10),"")</f>
        <v/>
      </c>
      <c r="C124" s="14">
        <f>iferror(average(EBITDA_MARGIN!C7:C10),"")</f>
        <v>-1.502738599</v>
      </c>
      <c r="D124" s="14">
        <f>iferror(average(EBITDA_MARGIN!D7:D10),"")</f>
        <v>-2.077674116</v>
      </c>
      <c r="E124" s="14" t="str">
        <f>iferror(average(EBITDA_MARGIN!E7:E10),"")</f>
        <v/>
      </c>
      <c r="F124" s="14" t="str">
        <f>iferror(average(EBITDA_MARGIN!F7:F10),"")</f>
        <v/>
      </c>
      <c r="G124" s="14" t="str">
        <f>iferror(average(EBITDA_MARGIN!G7:G10),"")</f>
        <v/>
      </c>
      <c r="H124" s="14" t="str">
        <f>iferror(average(EBITDA_MARGIN!H7:H10),"")</f>
        <v/>
      </c>
      <c r="I124" s="14" t="str">
        <f>iferror(average(EBITDA_MARGIN!I7:I10),"")</f>
        <v/>
      </c>
      <c r="J124" s="14" t="str">
        <f>iferror(average(EBITDA_MARGIN!J7:J10),"")</f>
        <v/>
      </c>
      <c r="K124" s="14"/>
      <c r="L124" s="14" t="str">
        <f>iferror(average(EBITDA_MARGIN!L7:L10),"")</f>
        <v/>
      </c>
      <c r="M124" s="14" t="str">
        <f>iferror(average(EBITDA_MARGIN!M7:M10),"")</f>
        <v/>
      </c>
      <c r="N124" s="14" t="str">
        <f>iferror(average(EBITDA_MARGIN!N7:N10),"")</f>
        <v/>
      </c>
      <c r="O124" s="14" t="str">
        <f>iferror(average(EBITDA_MARGIN!O7:O10),"")</f>
        <v/>
      </c>
      <c r="P124" s="14" t="str">
        <f>iferror(average(EBITDA_MARGIN!P7:P10),"")</f>
        <v/>
      </c>
      <c r="Q124" s="14" t="str">
        <f>iferror(average(EBITDA_MARGIN!Q7:Q10),"")</f>
        <v/>
      </c>
      <c r="R124" s="14"/>
      <c r="S124" s="14" t="str">
        <f>iferror(average(EBITDA_MARGIN!S7:S10),"")</f>
        <v/>
      </c>
      <c r="T124" s="14" t="str">
        <f>iferror(average(EBITDA_MARGIN!T7:T10),"")</f>
        <v/>
      </c>
      <c r="U124" s="14" t="str">
        <f>iferror(average(EBITDA_MARGIN!U7:U10),"")</f>
        <v/>
      </c>
      <c r="V124" s="14" t="str">
        <f>iferror(average(EBITDA_MARGIN!V7:V10),"")</f>
        <v/>
      </c>
      <c r="W124" s="14">
        <f>iferror(average(EBITDA_MARGIN!W7:W10),"")</f>
        <v>-1.001977587</v>
      </c>
      <c r="X124" s="25">
        <f>iferror(average(EBITDA_MARGIN!X7:X10),"")</f>
        <v>0.01961877438</v>
      </c>
      <c r="Y124" s="25" t="str">
        <f>iferror(average(EBITDA_MARGIN!Y7:Y10),"")</f>
        <v/>
      </c>
      <c r="Z124" s="25" t="str">
        <f>iferror(average(EBITDA_MARGIN!Z7:Z10),"")</f>
        <v/>
      </c>
      <c r="AA124" s="25" t="str">
        <f>iferror(average(EBITDA_MARGIN!AA7:AA10),"")</f>
        <v/>
      </c>
      <c r="AB124" s="25" t="str">
        <f>iferror(average(EBITDA_MARGIN!AB7:AB10),"")</f>
        <v/>
      </c>
      <c r="AC124" s="25" t="str">
        <f>iferror(average(EBITDA_MARGIN!AC7:AC10),"")</f>
        <v/>
      </c>
      <c r="AD124" s="12"/>
    </row>
    <row r="125">
      <c r="A125" s="15" t="s">
        <v>38</v>
      </c>
      <c r="B125" s="14" t="str">
        <f>iferror(average(EBITDA_MARGIN!B8:B11),"")</f>
        <v/>
      </c>
      <c r="C125" s="14">
        <f>iferror(average(EBITDA_MARGIN!C8:C11),"")</f>
        <v>-1.157132616</v>
      </c>
      <c r="D125" s="14">
        <f>iferror(average(EBITDA_MARGIN!D8:D11),"")</f>
        <v>-1.679860796</v>
      </c>
      <c r="E125" s="14" t="str">
        <f>iferror(average(EBITDA_MARGIN!E8:E11),"")</f>
        <v/>
      </c>
      <c r="F125" s="14" t="str">
        <f>iferror(average(EBITDA_MARGIN!F8:F11),"")</f>
        <v/>
      </c>
      <c r="G125" s="14" t="str">
        <f>iferror(average(EBITDA_MARGIN!G8:G11),"")</f>
        <v/>
      </c>
      <c r="H125" s="14" t="str">
        <f>iferror(average(EBITDA_MARGIN!H8:H11),"")</f>
        <v/>
      </c>
      <c r="I125" s="14" t="str">
        <f>iferror(average(EBITDA_MARGIN!I8:I11),"")</f>
        <v/>
      </c>
      <c r="J125" s="14" t="str">
        <f>iferror(average(EBITDA_MARGIN!J8:J11),"")</f>
        <v/>
      </c>
      <c r="K125" s="14"/>
      <c r="L125" s="14" t="str">
        <f>iferror(average(EBITDA_MARGIN!L8:L11),"")</f>
        <v/>
      </c>
      <c r="M125" s="14" t="str">
        <f>iferror(average(EBITDA_MARGIN!M8:M11),"")</f>
        <v/>
      </c>
      <c r="N125" s="14" t="str">
        <f>iferror(average(EBITDA_MARGIN!N8:N11),"")</f>
        <v/>
      </c>
      <c r="O125" s="14" t="str">
        <f>iferror(average(EBITDA_MARGIN!O8:O11),"")</f>
        <v/>
      </c>
      <c r="P125" s="14" t="str">
        <f>iferror(average(EBITDA_MARGIN!P8:P11),"")</f>
        <v/>
      </c>
      <c r="Q125" s="14" t="str">
        <f>iferror(average(EBITDA_MARGIN!Q8:Q11),"")</f>
        <v/>
      </c>
      <c r="R125" s="14"/>
      <c r="S125" s="14">
        <f>iferror(average(EBITDA_MARGIN!S8:S11),"")</f>
        <v>-34.15897436</v>
      </c>
      <c r="T125" s="14" t="str">
        <f>iferror(average(EBITDA_MARGIN!T8:T11),"")</f>
        <v/>
      </c>
      <c r="U125" s="14" t="str">
        <f>iferror(average(EBITDA_MARGIN!U8:U11),"")</f>
        <v/>
      </c>
      <c r="V125" s="14" t="str">
        <f>iferror(average(EBITDA_MARGIN!V8:V11),"")</f>
        <v/>
      </c>
      <c r="W125" s="14">
        <f>iferror(average(EBITDA_MARGIN!W8:W11),"")</f>
        <v>-0.8318382468</v>
      </c>
      <c r="X125" s="25">
        <f>iferror(average(EBITDA_MARGIN!X8:X11),"")</f>
        <v>0.01842226641</v>
      </c>
      <c r="Y125" s="25" t="str">
        <f>iferror(average(EBITDA_MARGIN!Y8:Y11),"")</f>
        <v/>
      </c>
      <c r="Z125" s="25" t="str">
        <f>iferror(average(EBITDA_MARGIN!Z8:Z11),"")</f>
        <v/>
      </c>
      <c r="AA125" s="25" t="str">
        <f>iferror(average(EBITDA_MARGIN!AA8:AA11),"")</f>
        <v/>
      </c>
      <c r="AB125" s="25" t="str">
        <f>iferror(average(EBITDA_MARGIN!AB8:AB11),"")</f>
        <v/>
      </c>
      <c r="AC125" s="25" t="str">
        <f>iferror(average(EBITDA_MARGIN!AC8:AC11),"")</f>
        <v/>
      </c>
      <c r="AD125" s="12"/>
    </row>
    <row r="126">
      <c r="A126" s="15" t="s">
        <v>39</v>
      </c>
      <c r="B126" s="14" t="str">
        <f>iferror(average(EBITDA_MARGIN!B9:B12),"")</f>
        <v/>
      </c>
      <c r="C126" s="14">
        <f>iferror(average(EBITDA_MARGIN!C9:C12),"")</f>
        <v>-0.8115266344</v>
      </c>
      <c r="D126" s="14">
        <f>iferror(average(EBITDA_MARGIN!D9:D12),"")</f>
        <v>-1.282047477</v>
      </c>
      <c r="E126" s="14" t="str">
        <f>iferror(average(EBITDA_MARGIN!E9:E12),"")</f>
        <v/>
      </c>
      <c r="F126" s="14" t="str">
        <f>iferror(average(EBITDA_MARGIN!F9:F12),"")</f>
        <v/>
      </c>
      <c r="G126" s="14" t="str">
        <f>iferror(average(EBITDA_MARGIN!G9:G12),"")</f>
        <v/>
      </c>
      <c r="H126" s="14" t="str">
        <f>iferror(average(EBITDA_MARGIN!H9:H12),"")</f>
        <v/>
      </c>
      <c r="I126" s="14" t="str">
        <f>iferror(average(EBITDA_MARGIN!I9:I12),"")</f>
        <v/>
      </c>
      <c r="J126" s="14" t="str">
        <f>iferror(average(EBITDA_MARGIN!J9:J12),"")</f>
        <v/>
      </c>
      <c r="K126" s="14"/>
      <c r="L126" s="14" t="str">
        <f>iferror(average(EBITDA_MARGIN!L9:L12),"")</f>
        <v/>
      </c>
      <c r="M126" s="14" t="str">
        <f>iferror(average(EBITDA_MARGIN!M9:M12),"")</f>
        <v/>
      </c>
      <c r="N126" s="14" t="str">
        <f>iferror(average(EBITDA_MARGIN!N9:N12),"")</f>
        <v/>
      </c>
      <c r="O126" s="14" t="str">
        <f>iferror(average(EBITDA_MARGIN!O9:O12),"")</f>
        <v/>
      </c>
      <c r="P126" s="14" t="str">
        <f>iferror(average(EBITDA_MARGIN!P9:P12),"")</f>
        <v/>
      </c>
      <c r="Q126" s="14" t="str">
        <f>iferror(average(EBITDA_MARGIN!Q9:Q12),"")</f>
        <v/>
      </c>
      <c r="R126" s="14"/>
      <c r="S126" s="14">
        <f>iferror(average(EBITDA_MARGIN!S9:S12),"")</f>
        <v>-34.15897436</v>
      </c>
      <c r="T126" s="14" t="str">
        <f>iferror(average(EBITDA_MARGIN!T9:T12),"")</f>
        <v/>
      </c>
      <c r="U126" s="14" t="str">
        <f>iferror(average(EBITDA_MARGIN!U9:U12),"")</f>
        <v/>
      </c>
      <c r="V126" s="14" t="str">
        <f>iferror(average(EBITDA_MARGIN!V9:V12),"")</f>
        <v/>
      </c>
      <c r="W126" s="14">
        <f>iferror(average(EBITDA_MARGIN!W9:W12),"")</f>
        <v>-0.6616989063</v>
      </c>
      <c r="X126" s="25">
        <f>iferror(average(EBITDA_MARGIN!X9:X12),"")</f>
        <v>0.01722575843</v>
      </c>
      <c r="Y126" s="25" t="str">
        <f>iferror(average(EBITDA_MARGIN!Y9:Y12),"")</f>
        <v/>
      </c>
      <c r="Z126" s="25" t="str">
        <f>iferror(average(EBITDA_MARGIN!Z9:Z12),"")</f>
        <v/>
      </c>
      <c r="AA126" s="25" t="str">
        <f>iferror(average(EBITDA_MARGIN!AA9:AA12),"")</f>
        <v/>
      </c>
      <c r="AB126" s="25" t="str">
        <f>iferror(average(EBITDA_MARGIN!AB9:AB12),"")</f>
        <v/>
      </c>
      <c r="AC126" s="25" t="str">
        <f>iferror(average(EBITDA_MARGIN!AC9:AC12),"")</f>
        <v/>
      </c>
      <c r="AD126" s="12"/>
    </row>
    <row r="127">
      <c r="A127" s="15" t="s">
        <v>40</v>
      </c>
      <c r="B127" s="14" t="str">
        <f>iferror(average(EBITDA_MARGIN!B10:B13),"")</f>
        <v/>
      </c>
      <c r="C127" s="14">
        <f>iferror(average(EBITDA_MARGIN!C10:C13),"")</f>
        <v>-0.4659206522</v>
      </c>
      <c r="D127" s="14">
        <f>iferror(average(EBITDA_MARGIN!D10:D13),"")</f>
        <v>-0.8842341573</v>
      </c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4" t="str">
        <f>iferror(average(EBITDA_MARGIN!U10:U13),"")</f>
        <v/>
      </c>
      <c r="V127" s="14" t="str">
        <f>iferror(average(EBITDA_MARGIN!V10:V13),"")</f>
        <v/>
      </c>
      <c r="W127" s="14">
        <f>iferror(average(EBITDA_MARGIN!W10:W13),"")</f>
        <v>-0.4915595658</v>
      </c>
      <c r="X127" s="25">
        <f>iferror(average(EBITDA_MARGIN!X10:X13),"")</f>
        <v>0.01881946659</v>
      </c>
      <c r="Y127" s="25" t="str">
        <f>iferror(average(EBITDA_MARGIN!Y10:Y13),"")</f>
        <v/>
      </c>
      <c r="Z127" s="25" t="str">
        <f>iferror(average(EBITDA_MARGIN!Z10:Z13),"")</f>
        <v/>
      </c>
      <c r="AA127" s="25" t="str">
        <f>iferror(average(EBITDA_MARGIN!AA10:AA13),"")</f>
        <v/>
      </c>
      <c r="AB127" s="25" t="str">
        <f>iferror(average(EBITDA_MARGIN!AB10:AB13),"")</f>
        <v/>
      </c>
      <c r="AC127" s="25" t="str">
        <f>iferror(average(EBITDA_MARGIN!AC10:AC13),"")</f>
        <v/>
      </c>
      <c r="AD127" s="12"/>
    </row>
    <row r="128">
      <c r="A128" s="15" t="s">
        <v>41</v>
      </c>
      <c r="B128" s="14" t="str">
        <f>iferror(average(EBITDA_MARGIN!B11:B14),"")</f>
        <v/>
      </c>
      <c r="C128" s="14">
        <f>iferror(average(EBITDA_MARGIN!C11:C14),"")</f>
        <v>-0.1203146701</v>
      </c>
      <c r="D128" s="14">
        <f>iferror(average(EBITDA_MARGIN!D11:D14),"")</f>
        <v>-0.4864208377</v>
      </c>
      <c r="E128" s="14" t="str">
        <f>iferror(average(EBITDA_MARGIN!E11:E14),"")</f>
        <v/>
      </c>
      <c r="F128" s="14" t="str">
        <f>iferror(average(EBITDA_MARGIN!F11:F14),"")</f>
        <v/>
      </c>
      <c r="G128" s="14" t="str">
        <f>iferror(average(EBITDA_MARGIN!G11:G14),"")</f>
        <v/>
      </c>
      <c r="H128" s="14" t="str">
        <f>iferror(average(EBITDA_MARGIN!H11:H14),"")</f>
        <v/>
      </c>
      <c r="I128" s="14" t="str">
        <f>iferror(average(EBITDA_MARGIN!I11:I14),"")</f>
        <v/>
      </c>
      <c r="J128" s="14" t="str">
        <f>iferror(average(EBITDA_MARGIN!J11:J14),"")</f>
        <v/>
      </c>
      <c r="K128" s="14"/>
      <c r="L128" s="14" t="str">
        <f>iferror(average(EBITDA_MARGIN!L11:L14),"")</f>
        <v/>
      </c>
      <c r="M128" s="14" t="str">
        <f>iferror(average(EBITDA_MARGIN!M11:M14),"")</f>
        <v/>
      </c>
      <c r="N128" s="14" t="str">
        <f>iferror(average(EBITDA_MARGIN!N11:N14),"")</f>
        <v/>
      </c>
      <c r="O128" s="14" t="str">
        <f>iferror(average(EBITDA_MARGIN!O11:O14),"")</f>
        <v/>
      </c>
      <c r="P128" s="14" t="str">
        <f>iferror(average(EBITDA_MARGIN!P11:P14),"")</f>
        <v/>
      </c>
      <c r="Q128" s="14" t="str">
        <f>iferror(average(EBITDA_MARGIN!Q11:Q14),"")</f>
        <v/>
      </c>
      <c r="R128" s="14"/>
      <c r="S128" s="14">
        <f>iferror(average(EBITDA_MARGIN!S11:S14),"")</f>
        <v>-34.15897436</v>
      </c>
      <c r="T128" s="14" t="str">
        <f>iferror(average(EBITDA_MARGIN!T11:T14),"")</f>
        <v/>
      </c>
      <c r="U128" s="14" t="str">
        <f>iferror(average(EBITDA_MARGIN!U11:U14),"")</f>
        <v/>
      </c>
      <c r="V128" s="14" t="str">
        <f>iferror(average(EBITDA_MARGIN!V11:V14),"")</f>
        <v/>
      </c>
      <c r="W128" s="14">
        <f>iferror(average(EBITDA_MARGIN!W11:W14),"")</f>
        <v>-0.3214202253</v>
      </c>
      <c r="X128" s="25">
        <f>iferror(average(EBITDA_MARGIN!X11:X14),"")</f>
        <v>0.02041317475</v>
      </c>
      <c r="Y128" s="25" t="str">
        <f>iferror(average(EBITDA_MARGIN!Y11:Y14),"")</f>
        <v/>
      </c>
      <c r="Z128" s="25" t="str">
        <f>iferror(average(EBITDA_MARGIN!Z11:Z14),"")</f>
        <v/>
      </c>
      <c r="AA128" s="25" t="str">
        <f>iferror(average(EBITDA_MARGIN!AA11:AA14),"")</f>
        <v/>
      </c>
      <c r="AB128" s="25" t="str">
        <f>iferror(average(EBITDA_MARGIN!AB11:AB14),"")</f>
        <v/>
      </c>
      <c r="AC128" s="25" t="str">
        <f>iferror(average(EBITDA_MARGIN!AC11:AC14),"")</f>
        <v/>
      </c>
      <c r="AD128" s="12"/>
    </row>
    <row r="129">
      <c r="A129" s="15" t="s">
        <v>42</v>
      </c>
      <c r="B129" s="14" t="str">
        <f>iferror(average(EBITDA_MARGIN!B12:B15),"")</f>
        <v/>
      </c>
      <c r="C129" s="14">
        <f>iferror(average(EBITDA_MARGIN!C12:C15),"")</f>
        <v>-0.09661553593</v>
      </c>
      <c r="D129" s="14">
        <f>iferror(average(EBITDA_MARGIN!D12:D15),"")</f>
        <v>-0.6537035192</v>
      </c>
      <c r="E129" s="14"/>
      <c r="F129" s="14" t="str">
        <f>iferror(average(EBITDA_MARGIN!F12:F15),"")</f>
        <v/>
      </c>
      <c r="G129" s="14" t="str">
        <f>iferror(average(EBITDA_MARGIN!G12:G15),"")</f>
        <v/>
      </c>
      <c r="H129" s="14" t="str">
        <f>iferror(average(EBITDA_MARGIN!H12:H15),"")</f>
        <v/>
      </c>
      <c r="I129" s="14" t="str">
        <f>iferror(average(EBITDA_MARGIN!I12:I15),"")</f>
        <v/>
      </c>
      <c r="J129" s="14" t="str">
        <f>iferror(average(EBITDA_MARGIN!J12:J15),"")</f>
        <v/>
      </c>
      <c r="K129" s="14"/>
      <c r="L129" s="14" t="str">
        <f>iferror(average(EBITDA_MARGIN!L12:L15),"")</f>
        <v/>
      </c>
      <c r="M129" s="14" t="str">
        <f>iferror(average(EBITDA_MARGIN!M12:M15),"")</f>
        <v/>
      </c>
      <c r="N129" s="14" t="str">
        <f>iferror(average(EBITDA_MARGIN!N12:N15),"")</f>
        <v/>
      </c>
      <c r="O129" s="14" t="str">
        <f>iferror(average(EBITDA_MARGIN!O12:O15),"")</f>
        <v/>
      </c>
      <c r="P129" s="14" t="str">
        <f>iferror(average(EBITDA_MARGIN!P12:P15),"")</f>
        <v/>
      </c>
      <c r="Q129" s="14" t="str">
        <f>iferror(average(EBITDA_MARGIN!Q12:Q15),"")</f>
        <v/>
      </c>
      <c r="R129" s="14"/>
      <c r="S129" s="14">
        <f>iferror(average(EBITDA_MARGIN!S12:S15),"")</f>
        <v>-28.1685118</v>
      </c>
      <c r="T129" s="14" t="str">
        <f>iferror(average(EBITDA_MARGIN!T12:T15),"")</f>
        <v/>
      </c>
      <c r="U129" s="14" t="str">
        <f>iferror(average(EBITDA_MARGIN!U12:U15),"")</f>
        <v/>
      </c>
      <c r="V129" s="14" t="str">
        <f>iferror(average(EBITDA_MARGIN!V12:V15),"")</f>
        <v/>
      </c>
      <c r="W129" s="14">
        <f>iferror(average(EBITDA_MARGIN!W12:W15),"")</f>
        <v>-0.3824831375</v>
      </c>
      <c r="X129" s="25">
        <f>iferror(average(EBITDA_MARGIN!X12:X15),"")</f>
        <v>0.02200688291</v>
      </c>
      <c r="Y129" s="25" t="str">
        <f>iferror(average(EBITDA_MARGIN!Y12:Y15),"")</f>
        <v/>
      </c>
      <c r="Z129" s="25" t="str">
        <f>iferror(average(EBITDA_MARGIN!Z12:Z15),"")</f>
        <v/>
      </c>
      <c r="AA129" s="25" t="str">
        <f>iferror(average(EBITDA_MARGIN!AA12:AA15),"")</f>
        <v/>
      </c>
      <c r="AB129" s="25" t="str">
        <f>iferror(average(EBITDA_MARGIN!AB12:AB15),"")</f>
        <v/>
      </c>
      <c r="AC129" s="25" t="str">
        <f>iferror(average(EBITDA_MARGIN!AC12:AC15),"")</f>
        <v/>
      </c>
      <c r="AD129" s="12"/>
    </row>
    <row r="130">
      <c r="A130" s="15" t="s">
        <v>43</v>
      </c>
      <c r="B130" s="14" t="str">
        <f>iferror(average(EBITDA_MARGIN!B13:B16),"")</f>
        <v/>
      </c>
      <c r="C130" s="14">
        <f>iferror(average(EBITDA_MARGIN!C13:C16),"")</f>
        <v>-0.07291640178</v>
      </c>
      <c r="D130" s="14">
        <f>iferror(average(EBITDA_MARGIN!D13:D16),"")</f>
        <v>-0.8209862006</v>
      </c>
      <c r="E130" s="14"/>
      <c r="F130" s="14" t="str">
        <f>iferror(average(EBITDA_MARGIN!F13:F16),"")</f>
        <v/>
      </c>
      <c r="G130" s="14" t="str">
        <f>iferror(average(EBITDA_MARGIN!G13:G16),"")</f>
        <v/>
      </c>
      <c r="H130" s="14" t="str">
        <f>iferror(average(EBITDA_MARGIN!H13:H16),"")</f>
        <v/>
      </c>
      <c r="I130" s="14" t="str">
        <f>iferror(average(EBITDA_MARGIN!I13:I16),"")</f>
        <v/>
      </c>
      <c r="J130" s="14" t="str">
        <f>iferror(average(EBITDA_MARGIN!J13:J16),"")</f>
        <v/>
      </c>
      <c r="K130" s="14"/>
      <c r="L130" s="14" t="str">
        <f>iferror(average(EBITDA_MARGIN!L13:L16),"")</f>
        <v/>
      </c>
      <c r="M130" s="14" t="str">
        <f>iferror(average(EBITDA_MARGIN!M13:M16),"")</f>
        <v/>
      </c>
      <c r="N130" s="14" t="str">
        <f>iferror(average(EBITDA_MARGIN!N13:N16),"")</f>
        <v/>
      </c>
      <c r="O130" s="14" t="str">
        <f>iferror(average(EBITDA_MARGIN!O13:O16),"")</f>
        <v/>
      </c>
      <c r="P130" s="14" t="str">
        <f>iferror(average(EBITDA_MARGIN!P13:P16),"")</f>
        <v/>
      </c>
      <c r="Q130" s="14" t="str">
        <f>iferror(average(EBITDA_MARGIN!Q13:Q16),"")</f>
        <v/>
      </c>
      <c r="R130" s="14"/>
      <c r="S130" s="14">
        <f>iferror(average(EBITDA_MARGIN!S13:S16),"")</f>
        <v>-22.17804925</v>
      </c>
      <c r="T130" s="14" t="str">
        <f>iferror(average(EBITDA_MARGIN!T13:T16),"")</f>
        <v/>
      </c>
      <c r="U130" s="14" t="str">
        <f>iferror(average(EBITDA_MARGIN!U13:U16),"")</f>
        <v/>
      </c>
      <c r="V130" s="14" t="str">
        <f>iferror(average(EBITDA_MARGIN!V13:V16),"")</f>
        <v/>
      </c>
      <c r="W130" s="14">
        <f>iferror(average(EBITDA_MARGIN!W13:W16),"")</f>
        <v>-0.4435460497</v>
      </c>
      <c r="X130" s="25">
        <f>iferror(average(EBITDA_MARGIN!X13:X16),"")</f>
        <v>0.02360059107</v>
      </c>
      <c r="Y130" s="25" t="str">
        <f>iferror(average(EBITDA_MARGIN!Y13:Y16),"")</f>
        <v/>
      </c>
      <c r="Z130" s="25" t="str">
        <f>iferror(average(EBITDA_MARGIN!Z13:Z16),"")</f>
        <v/>
      </c>
      <c r="AA130" s="25" t="str">
        <f>iferror(average(EBITDA_MARGIN!AA13:AA16),"")</f>
        <v/>
      </c>
      <c r="AB130" s="25" t="str">
        <f>iferror(average(EBITDA_MARGIN!AB13:AB16),"")</f>
        <v/>
      </c>
      <c r="AC130" s="25" t="str">
        <f>iferror(average(EBITDA_MARGIN!AC13:AC16),"")</f>
        <v/>
      </c>
      <c r="AD130" s="12"/>
    </row>
    <row r="131">
      <c r="A131" s="15" t="s">
        <v>44</v>
      </c>
      <c r="B131" s="14" t="str">
        <f>iferror(average(EBITDA_MARGIN!B14:B17),"")</f>
        <v/>
      </c>
      <c r="C131" s="14">
        <f>iferror(average(EBITDA_MARGIN!C14:C17),"")</f>
        <v>-0.04921726762</v>
      </c>
      <c r="D131" s="14">
        <f>iferror(average(EBITDA_MARGIN!D14:D17),"")</f>
        <v>-0.988268882</v>
      </c>
      <c r="E131" s="14"/>
      <c r="F131" s="14" t="str">
        <f>iferror(average(EBITDA_MARGIN!F14:F17),"")</f>
        <v/>
      </c>
      <c r="G131" s="14" t="str">
        <f>iferror(average(EBITDA_MARGIN!G14:G17),"")</f>
        <v/>
      </c>
      <c r="H131" s="14" t="str">
        <f>iferror(average(EBITDA_MARGIN!H14:H17),"")</f>
        <v/>
      </c>
      <c r="I131" s="14" t="str">
        <f>iferror(average(EBITDA_MARGIN!I14:I17),"")</f>
        <v/>
      </c>
      <c r="J131" s="14" t="str">
        <f>iferror(average(EBITDA_MARGIN!J14:J17),"")</f>
        <v/>
      </c>
      <c r="K131" s="14"/>
      <c r="L131" s="14" t="str">
        <f>iferror(average(EBITDA_MARGIN!L14:L17),"")</f>
        <v/>
      </c>
      <c r="M131" s="14" t="str">
        <f>iferror(average(EBITDA_MARGIN!M14:M17),"")</f>
        <v/>
      </c>
      <c r="N131" s="14" t="str">
        <f>iferror(average(EBITDA_MARGIN!N14:N17),"")</f>
        <v/>
      </c>
      <c r="O131" s="14"/>
      <c r="P131" s="14" t="str">
        <f>iferror(average(EBITDA_MARGIN!P14:P17),"")</f>
        <v/>
      </c>
      <c r="Q131" s="14" t="str">
        <f>iferror(average(EBITDA_MARGIN!Q14:Q17),"")</f>
        <v/>
      </c>
      <c r="R131" s="14"/>
      <c r="S131" s="14">
        <f>iferror(average(EBITDA_MARGIN!S14:S17),"")</f>
        <v>-16.18758669</v>
      </c>
      <c r="T131" s="14" t="str">
        <f>iferror(average(EBITDA_MARGIN!T14:T17),"")</f>
        <v/>
      </c>
      <c r="U131" s="14" t="str">
        <f>iferror(average(EBITDA_MARGIN!U14:U17),"")</f>
        <v/>
      </c>
      <c r="V131" s="14" t="str">
        <f>iferror(average(EBITDA_MARGIN!V14:V17),"")</f>
        <v/>
      </c>
      <c r="W131" s="14">
        <f>iferror(average(EBITDA_MARGIN!W14:W17),"")</f>
        <v>-0.504608962</v>
      </c>
      <c r="X131" s="25">
        <f>iferror(average(EBITDA_MARGIN!X14:X17),"")</f>
        <v>0.02466735509</v>
      </c>
      <c r="Y131" s="25" t="str">
        <f>iferror(average(EBITDA_MARGIN!Y14:Y17),"")</f>
        <v/>
      </c>
      <c r="Z131" s="25" t="str">
        <f>iferror(average(EBITDA_MARGIN!Z14:Z17),"")</f>
        <v/>
      </c>
      <c r="AA131" s="25" t="str">
        <f>iferror(average(EBITDA_MARGIN!AA14:AA17),"")</f>
        <v/>
      </c>
      <c r="AB131" s="25" t="str">
        <f>iferror(average(EBITDA_MARGIN!AB14:AB17),"")</f>
        <v/>
      </c>
      <c r="AC131" s="25" t="str">
        <f>iferror(average(EBITDA_MARGIN!AC14:AC17),"")</f>
        <v/>
      </c>
      <c r="AD131" s="12"/>
    </row>
    <row r="132">
      <c r="A132" s="15" t="s">
        <v>45</v>
      </c>
      <c r="B132" s="14" t="str">
        <f>iferror(average(EBITDA_MARGIN!B15:B18),"")</f>
        <v/>
      </c>
      <c r="C132" s="14">
        <f>iferror(average(EBITDA_MARGIN!C15:C18),"")</f>
        <v>-0.02551813346</v>
      </c>
      <c r="D132" s="14">
        <f>iferror(average(EBITDA_MARGIN!D15:D18),"")</f>
        <v>-1.155551563</v>
      </c>
      <c r="E132" s="14">
        <f>iferror(average(EBITDA_MARGIN!E15:E18),"")</f>
        <v>-4.780769231</v>
      </c>
      <c r="F132" s="14" t="str">
        <f>iferror(average(EBITDA_MARGIN!F15:F18),"")</f>
        <v/>
      </c>
      <c r="G132" s="14" t="str">
        <f>iferror(average(EBITDA_MARGIN!G15:G18),"")</f>
        <v/>
      </c>
      <c r="H132" s="14" t="str">
        <f>iferror(average(EBITDA_MARGIN!H15:H18),"")</f>
        <v/>
      </c>
      <c r="I132" s="14" t="str">
        <f>iferror(average(EBITDA_MARGIN!I15:I18),"")</f>
        <v/>
      </c>
      <c r="J132" s="14" t="str">
        <f>iferror(average(EBITDA_MARGIN!J15:J18),"")</f>
        <v/>
      </c>
      <c r="K132" s="14"/>
      <c r="L132" s="14" t="str">
        <f>iferror(average(EBITDA_MARGIN!L15:L18),"")</f>
        <v/>
      </c>
      <c r="M132" s="14" t="str">
        <f>iferror(average(EBITDA_MARGIN!M15:M18),"")</f>
        <v/>
      </c>
      <c r="N132" s="14" t="str">
        <f>iferror(average(EBITDA_MARGIN!N15:N18),"")</f>
        <v/>
      </c>
      <c r="O132" s="14"/>
      <c r="P132" s="14" t="str">
        <f>iferror(average(EBITDA_MARGIN!P15:P18),"")</f>
        <v/>
      </c>
      <c r="Q132" s="14" t="str">
        <f>iferror(average(EBITDA_MARGIN!Q15:Q18),"")</f>
        <v/>
      </c>
      <c r="R132" s="14"/>
      <c r="S132" s="14">
        <f>iferror(average(EBITDA_MARGIN!S15:S18),"")</f>
        <v>-10.19712414</v>
      </c>
      <c r="T132" s="14" t="str">
        <f>iferror(average(EBITDA_MARGIN!T15:T18),"")</f>
        <v/>
      </c>
      <c r="U132" s="14" t="str">
        <f>iferror(average(EBITDA_MARGIN!U15:U18),"")</f>
        <v/>
      </c>
      <c r="V132" s="14" t="str">
        <f>iferror(average(EBITDA_MARGIN!V15:V18),"")</f>
        <v/>
      </c>
      <c r="W132" s="14">
        <f>iferror(average(EBITDA_MARGIN!W15:W18),"")</f>
        <v>-0.5656718742</v>
      </c>
      <c r="X132" s="25">
        <f>iferror(average(EBITDA_MARGIN!X15:X18),"")</f>
        <v>0.02573411911</v>
      </c>
      <c r="Y132" s="25" t="str">
        <f>iferror(average(EBITDA_MARGIN!Y15:Y18),"")</f>
        <v/>
      </c>
      <c r="Z132" s="25" t="str">
        <f>iferror(average(EBITDA_MARGIN!Z15:Z18),"")</f>
        <v/>
      </c>
      <c r="AA132" s="25" t="str">
        <f>iferror(average(EBITDA_MARGIN!AA15:AA18),"")</f>
        <v/>
      </c>
      <c r="AB132" s="25" t="str">
        <f>iferror(average(EBITDA_MARGIN!AB15:AB18),"")</f>
        <v/>
      </c>
      <c r="AC132" s="25" t="str">
        <f>iferror(average(EBITDA_MARGIN!AC15:AC18),"")</f>
        <v/>
      </c>
      <c r="AD132" s="12"/>
    </row>
    <row r="133">
      <c r="A133" s="15" t="s">
        <v>46</v>
      </c>
      <c r="B133" s="14" t="str">
        <f>iferror(average(EBITDA_MARGIN!B16:B19),"")</f>
        <v/>
      </c>
      <c r="C133" s="14">
        <f>iferror(average(EBITDA_MARGIN!C16:C19),"")</f>
        <v>-0.01769845016</v>
      </c>
      <c r="D133" s="14">
        <f>iferror(average(EBITDA_MARGIN!D16:D19),"")</f>
        <v>-0.8812629436</v>
      </c>
      <c r="E133" s="14">
        <f>iferror(average(EBITDA_MARGIN!E16:E19),"")</f>
        <v>-3.678585956</v>
      </c>
      <c r="F133" s="14" t="str">
        <f>iferror(average(EBITDA_MARGIN!F16:F19),"")</f>
        <v/>
      </c>
      <c r="G133" s="14" t="str">
        <f>iferror(average(EBITDA_MARGIN!G16:G19),"")</f>
        <v/>
      </c>
      <c r="H133" s="14" t="str">
        <f>iferror(average(EBITDA_MARGIN!H16:H19),"")</f>
        <v/>
      </c>
      <c r="I133" s="14" t="str">
        <f>iferror(average(EBITDA_MARGIN!I16:I19),"")</f>
        <v/>
      </c>
      <c r="J133" s="14" t="str">
        <f>iferror(average(EBITDA_MARGIN!J16:J19),"")</f>
        <v/>
      </c>
      <c r="K133" s="14"/>
      <c r="L133" s="14" t="str">
        <f>iferror(average(EBITDA_MARGIN!L16:L19),"")</f>
        <v/>
      </c>
      <c r="M133" s="14" t="str">
        <f>iferror(average(EBITDA_MARGIN!M16:M19),"")</f>
        <v/>
      </c>
      <c r="N133" s="14" t="str">
        <f>iferror(average(EBITDA_MARGIN!N16:N19),"")</f>
        <v/>
      </c>
      <c r="O133" s="14"/>
      <c r="P133" s="14" t="str">
        <f>iferror(average(EBITDA_MARGIN!P16:P19),"")</f>
        <v/>
      </c>
      <c r="Q133" s="14" t="str">
        <f>iferror(average(EBITDA_MARGIN!Q16:Q19),"")</f>
        <v/>
      </c>
      <c r="R133" s="14"/>
      <c r="S133" s="14">
        <f>iferror(average(EBITDA_MARGIN!S16:S19),"")</f>
        <v>-8.103821664</v>
      </c>
      <c r="T133" s="14" t="str">
        <f>iferror(average(EBITDA_MARGIN!T16:T19),"")</f>
        <v/>
      </c>
      <c r="U133" s="14" t="str">
        <f>iferror(average(EBITDA_MARGIN!U16:U19),"")</f>
        <v/>
      </c>
      <c r="V133" s="14">
        <f>iferror(average(EBITDA_MARGIN!V16:V19),"")</f>
        <v>-2.378568302</v>
      </c>
      <c r="W133" s="14">
        <f>iferror(average(EBITDA_MARGIN!W16:W19),"")</f>
        <v>-0.5001734802</v>
      </c>
      <c r="X133" s="25">
        <f>iferror(average(EBITDA_MARGIN!X16:X19),"")</f>
        <v>0.02680088313</v>
      </c>
      <c r="Y133" s="25" t="str">
        <f>iferror(average(EBITDA_MARGIN!Y16:Y19),"")</f>
        <v/>
      </c>
      <c r="Z133" s="25" t="str">
        <f>iferror(average(EBITDA_MARGIN!Z16:Z19),"")</f>
        <v/>
      </c>
      <c r="AA133" s="25" t="str">
        <f>iferror(average(EBITDA_MARGIN!AA16:AA19),"")</f>
        <v/>
      </c>
      <c r="AB133" s="25" t="str">
        <f>iferror(average(EBITDA_MARGIN!AB16:AB19),"")</f>
        <v/>
      </c>
      <c r="AC133" s="25" t="str">
        <f>iferror(average(EBITDA_MARGIN!AC16:AC19),"")</f>
        <v/>
      </c>
      <c r="AD133" s="12"/>
    </row>
    <row r="134">
      <c r="A134" s="15" t="s">
        <v>47</v>
      </c>
      <c r="B134" s="14" t="str">
        <f>iferror(average(EBITDA_MARGIN!B17:B20),"")</f>
        <v/>
      </c>
      <c r="C134" s="14">
        <f>iferror(average(EBITDA_MARGIN!C17:C20),"")</f>
        <v>-0.00987876687</v>
      </c>
      <c r="D134" s="14">
        <f>iferror(average(EBITDA_MARGIN!D17:D20),"")</f>
        <v>-0.6069743237</v>
      </c>
      <c r="E134" s="14">
        <f>iferror(average(EBITDA_MARGIN!E17:E20),"")</f>
        <v>-2.576402681</v>
      </c>
      <c r="F134" s="14" t="str">
        <f>iferror(average(EBITDA_MARGIN!F17:F20),"")</f>
        <v/>
      </c>
      <c r="G134" s="14" t="str">
        <f>iferror(average(EBITDA_MARGIN!G17:G20),"")</f>
        <v/>
      </c>
      <c r="H134" s="14" t="str">
        <f>iferror(average(EBITDA_MARGIN!H17:H20),"")</f>
        <v/>
      </c>
      <c r="I134" s="14" t="str">
        <f>iferror(average(EBITDA_MARGIN!I17:I20),"")</f>
        <v/>
      </c>
      <c r="J134" s="14" t="str">
        <f>iferror(average(EBITDA_MARGIN!J17:J20),"")</f>
        <v/>
      </c>
      <c r="K134" s="14"/>
      <c r="L134" s="14" t="str">
        <f>iferror(average(EBITDA_MARGIN!L17:L20),"")</f>
        <v/>
      </c>
      <c r="M134" s="14" t="str">
        <f>iferror(average(EBITDA_MARGIN!M17:M20),"")</f>
        <v/>
      </c>
      <c r="N134" s="14" t="str">
        <f>iferror(average(EBITDA_MARGIN!N17:N20),"")</f>
        <v/>
      </c>
      <c r="O134" s="14">
        <f>iferror(average(EBITDA_MARGIN!O17:O20),"")</f>
        <v>-6.45323741</v>
      </c>
      <c r="P134" s="14" t="str">
        <f>iferror(average(EBITDA_MARGIN!P17:P20),"")</f>
        <v/>
      </c>
      <c r="Q134" s="14" t="str">
        <f>iferror(average(EBITDA_MARGIN!Q17:Q20),"")</f>
        <v/>
      </c>
      <c r="R134" s="14"/>
      <c r="S134" s="14">
        <f>iferror(average(EBITDA_MARGIN!S17:S20),"")</f>
        <v>-6.010519192</v>
      </c>
      <c r="T134" s="14" t="str">
        <f>iferror(average(EBITDA_MARGIN!T17:T20),"")</f>
        <v/>
      </c>
      <c r="U134" s="14" t="str">
        <f>iferror(average(EBITDA_MARGIN!U17:U20),"")</f>
        <v/>
      </c>
      <c r="V134" s="14">
        <f>iferror(average(EBITDA_MARGIN!V17:V20),"")</f>
        <v>-2.378568302</v>
      </c>
      <c r="W134" s="14">
        <f>iferror(average(EBITDA_MARGIN!W17:W20),"")</f>
        <v>-0.4346750861</v>
      </c>
      <c r="X134" s="25">
        <f>iferror(average(EBITDA_MARGIN!X17:X20),"")</f>
        <v>0.02786764716</v>
      </c>
      <c r="Y134" s="25" t="str">
        <f>iferror(average(EBITDA_MARGIN!Y17:Y20),"")</f>
        <v/>
      </c>
      <c r="Z134" s="25" t="str">
        <f>iferror(average(EBITDA_MARGIN!Z17:Z20),"")</f>
        <v/>
      </c>
      <c r="AA134" s="25" t="str">
        <f>iferror(average(EBITDA_MARGIN!AA17:AA20),"")</f>
        <v/>
      </c>
      <c r="AB134" s="25" t="str">
        <f>iferror(average(EBITDA_MARGIN!AB17:AB20),"")</f>
        <v/>
      </c>
      <c r="AC134" s="25" t="str">
        <f>iferror(average(EBITDA_MARGIN!AC17:AC20),"")</f>
        <v/>
      </c>
      <c r="AD134" s="12"/>
    </row>
    <row r="135">
      <c r="A135" s="15" t="s">
        <v>48</v>
      </c>
      <c r="B135" s="14" t="str">
        <f>iferror(average(EBITDA_MARGIN!B18:B21),"")</f>
        <v/>
      </c>
      <c r="C135" s="14">
        <f>iferror(average(EBITDA_MARGIN!C18:C21),"")</f>
        <v>-0.002059083577</v>
      </c>
      <c r="D135" s="14">
        <f>iferror(average(EBITDA_MARGIN!D18:D21),"")</f>
        <v>-0.3326857038</v>
      </c>
      <c r="E135" s="14">
        <f>iferror(average(EBITDA_MARGIN!E18:E21),"")</f>
        <v>-1.474219406</v>
      </c>
      <c r="F135" s="14" t="str">
        <f>iferror(average(EBITDA_MARGIN!F18:F21),"")</f>
        <v/>
      </c>
      <c r="G135" s="14" t="str">
        <f>iferror(average(EBITDA_MARGIN!G18:G21),"")</f>
        <v/>
      </c>
      <c r="H135" s="14" t="str">
        <f>iferror(average(EBITDA_MARGIN!H18:H21),"")</f>
        <v/>
      </c>
      <c r="I135" s="14" t="str">
        <f>iferror(average(EBITDA_MARGIN!I18:I21),"")</f>
        <v/>
      </c>
      <c r="J135" s="14" t="str">
        <f>iferror(average(EBITDA_MARGIN!J18:J21),"")</f>
        <v/>
      </c>
      <c r="K135" s="14"/>
      <c r="L135" s="14" t="str">
        <f>iferror(average(EBITDA_MARGIN!L18:L21),"")</f>
        <v/>
      </c>
      <c r="M135" s="14" t="str">
        <f>iferror(average(EBITDA_MARGIN!M18:M21),"")</f>
        <v/>
      </c>
      <c r="N135" s="14" t="str">
        <f>iferror(average(EBITDA_MARGIN!N18:N21),"")</f>
        <v/>
      </c>
      <c r="O135" s="14">
        <f>iferror(average(EBITDA_MARGIN!O18:O21),"")</f>
        <v>-4.561800795</v>
      </c>
      <c r="P135" s="14" t="str">
        <f>iferror(average(EBITDA_MARGIN!P18:P21),"")</f>
        <v/>
      </c>
      <c r="Q135" s="14" t="str">
        <f>iferror(average(EBITDA_MARGIN!Q18:Q21),"")</f>
        <v/>
      </c>
      <c r="R135" s="14"/>
      <c r="S135" s="14">
        <f>iferror(average(EBITDA_MARGIN!S18:S21),"")</f>
        <v>-3.91721672</v>
      </c>
      <c r="T135" s="14" t="str">
        <f>iferror(average(EBITDA_MARGIN!T18:T21),"")</f>
        <v/>
      </c>
      <c r="U135" s="14" t="str">
        <f>iferror(average(EBITDA_MARGIN!U18:U21),"")</f>
        <v/>
      </c>
      <c r="V135" s="14">
        <f>iferror(average(EBITDA_MARGIN!V18:V21),"")</f>
        <v>-2.378568302</v>
      </c>
      <c r="W135" s="14">
        <f>iferror(average(EBITDA_MARGIN!W18:W21),"")</f>
        <v>-0.3691766921</v>
      </c>
      <c r="X135" s="25">
        <f>iferror(average(EBITDA_MARGIN!X18:X21),"")</f>
        <v>0.026120288</v>
      </c>
      <c r="Y135" s="25" t="str">
        <f>iferror(average(EBITDA_MARGIN!Y18:Y21),"")</f>
        <v/>
      </c>
      <c r="Z135" s="25" t="str">
        <f>iferror(average(EBITDA_MARGIN!Z18:Z21),"")</f>
        <v/>
      </c>
      <c r="AA135" s="25" t="str">
        <f>iferror(average(EBITDA_MARGIN!AA18:AA21),"")</f>
        <v/>
      </c>
      <c r="AB135" s="25" t="str">
        <f>iferror(average(EBITDA_MARGIN!AB18:AB21),"")</f>
        <v/>
      </c>
      <c r="AC135" s="25" t="str">
        <f>iferror(average(EBITDA_MARGIN!AC18:AC21),"")</f>
        <v/>
      </c>
      <c r="AD135" s="12"/>
    </row>
    <row r="136">
      <c r="A136" s="15" t="s">
        <v>49</v>
      </c>
      <c r="B136" s="14" t="str">
        <f>iferror(average(EBITDA_MARGIN!B19:B22),"")</f>
        <v/>
      </c>
      <c r="C136" s="14">
        <f>iferror(average(EBITDA_MARGIN!C19:C22),"")</f>
        <v>0.005760599717</v>
      </c>
      <c r="D136" s="14">
        <f>iferror(average(EBITDA_MARGIN!D19:D22),"")</f>
        <v>-0.05839708397</v>
      </c>
      <c r="E136" s="14">
        <f>iferror(average(EBITDA_MARGIN!E19:E22),"")</f>
        <v>-0.372036131</v>
      </c>
      <c r="F136" s="14" t="str">
        <f>iferror(average(EBITDA_MARGIN!F19:F22),"")</f>
        <v/>
      </c>
      <c r="G136" s="14" t="str">
        <f>iferror(average(EBITDA_MARGIN!G19:G22),"")</f>
        <v/>
      </c>
      <c r="H136" s="14" t="str">
        <f>iferror(average(EBITDA_MARGIN!H19:H22),"")</f>
        <v/>
      </c>
      <c r="I136" s="14" t="str">
        <f>iferror(average(EBITDA_MARGIN!I19:I22),"")</f>
        <v/>
      </c>
      <c r="J136" s="14" t="str">
        <f>iferror(average(EBITDA_MARGIN!J19:J22),"")</f>
        <v/>
      </c>
      <c r="K136" s="14"/>
      <c r="L136" s="14" t="str">
        <f>iferror(average(EBITDA_MARGIN!L19:L22),"")</f>
        <v/>
      </c>
      <c r="M136" s="14" t="str">
        <f>iferror(average(EBITDA_MARGIN!M19:M22),"")</f>
        <v/>
      </c>
      <c r="N136" s="14" t="str">
        <f>iferror(average(EBITDA_MARGIN!N19:N22),"")</f>
        <v/>
      </c>
      <c r="O136" s="14">
        <f>iferror(average(EBITDA_MARGIN!O19:O22),"")</f>
        <v>-3.616082487</v>
      </c>
      <c r="P136" s="14" t="str">
        <f>iferror(average(EBITDA_MARGIN!P19:P22),"")</f>
        <v/>
      </c>
      <c r="Q136" s="14" t="str">
        <f>iferror(average(EBITDA_MARGIN!Q19:Q22),"")</f>
        <v/>
      </c>
      <c r="R136" s="14"/>
      <c r="S136" s="14">
        <f>iferror(average(EBITDA_MARGIN!S19:S22),"")</f>
        <v>-1.823914249</v>
      </c>
      <c r="T136" s="14" t="str">
        <f>iferror(average(EBITDA_MARGIN!T19:T22),"")</f>
        <v/>
      </c>
      <c r="U136" s="14" t="str">
        <f>iferror(average(EBITDA_MARGIN!U19:U22),"")</f>
        <v/>
      </c>
      <c r="V136" s="14">
        <f>iferror(average(EBITDA_MARGIN!V19:V22),"")</f>
        <v>-2.378568302</v>
      </c>
      <c r="W136" s="14">
        <f>iferror(average(EBITDA_MARGIN!W19:W22),"")</f>
        <v>-0.303678298</v>
      </c>
      <c r="X136" s="25">
        <f>iferror(average(EBITDA_MARGIN!X19:X22),"")</f>
        <v>0.02437292884</v>
      </c>
      <c r="Y136" s="25" t="str">
        <f>iferror(average(EBITDA_MARGIN!Y19:Y22),"")</f>
        <v/>
      </c>
      <c r="Z136" s="25" t="str">
        <f>iferror(average(EBITDA_MARGIN!Z19:Z22),"")</f>
        <v/>
      </c>
      <c r="AA136" s="25" t="str">
        <f>iferror(average(EBITDA_MARGIN!AA19:AA22),"")</f>
        <v/>
      </c>
      <c r="AB136" s="25" t="str">
        <f>iferror(average(EBITDA_MARGIN!AB19:AB22),"")</f>
        <v/>
      </c>
      <c r="AC136" s="25" t="str">
        <f>iferror(average(EBITDA_MARGIN!AC19:AC22),"")</f>
        <v/>
      </c>
      <c r="AD136" s="12"/>
    </row>
    <row r="137">
      <c r="A137" s="15" t="s">
        <v>50</v>
      </c>
      <c r="B137" s="14" t="str">
        <f>iferror(average(EBITDA_MARGIN!B20:B23),"")</f>
        <v/>
      </c>
      <c r="C137" s="14">
        <f>iferror(average(EBITDA_MARGIN!C20:C23),"")</f>
        <v>0.009963600586</v>
      </c>
      <c r="D137" s="14">
        <f>iferror(average(EBITDA_MARGIN!D20:D23),"")</f>
        <v>-0.0008713416541</v>
      </c>
      <c r="E137" s="14">
        <f>iferror(average(EBITDA_MARGIN!E20:E23),"")</f>
        <v>-0.2110705053</v>
      </c>
      <c r="F137" s="14" t="str">
        <f>iferror(average(EBITDA_MARGIN!F20:F23),"")</f>
        <v/>
      </c>
      <c r="G137" s="14" t="str">
        <f>iferror(average(EBITDA_MARGIN!G20:G23),"")</f>
        <v/>
      </c>
      <c r="H137" s="14" t="str">
        <f>iferror(average(EBITDA_MARGIN!H20:H23),"")</f>
        <v/>
      </c>
      <c r="I137" s="14" t="str">
        <f>iferror(average(EBITDA_MARGIN!I20:I23),"")</f>
        <v/>
      </c>
      <c r="J137" s="14" t="str">
        <f>iferror(average(EBITDA_MARGIN!J20:J23),"")</f>
        <v/>
      </c>
      <c r="K137" s="14"/>
      <c r="L137" s="14" t="str">
        <f>iferror(average(EBITDA_MARGIN!L20:L23),"")</f>
        <v/>
      </c>
      <c r="M137" s="14" t="str">
        <f>iferror(average(EBITDA_MARGIN!M20:M23),"")</f>
        <v/>
      </c>
      <c r="N137" s="14" t="str">
        <f>iferror(average(EBITDA_MARGIN!N20:N23),"")</f>
        <v/>
      </c>
      <c r="O137" s="14">
        <f>iferror(average(EBITDA_MARGIN!O20:O23),"")</f>
        <v>-2.197505025</v>
      </c>
      <c r="P137" s="14" t="str">
        <f>iferror(average(EBITDA_MARGIN!P20:P23),"")</f>
        <v/>
      </c>
      <c r="Q137" s="14" t="str">
        <f>iferror(average(EBITDA_MARGIN!Q20:Q23),"")</f>
        <v/>
      </c>
      <c r="R137" s="14"/>
      <c r="S137" s="14">
        <f>iferror(average(EBITDA_MARGIN!S20:S23),"")</f>
        <v>-1.420430347</v>
      </c>
      <c r="T137" s="14" t="str">
        <f>iferror(average(EBITDA_MARGIN!T20:T23),"")</f>
        <v/>
      </c>
      <c r="U137" s="14" t="str">
        <f>iferror(average(EBITDA_MARGIN!U20:U23),"")</f>
        <v/>
      </c>
      <c r="V137" s="14">
        <f>iferror(average(EBITDA_MARGIN!V20:V23),"")</f>
        <v>-1.809387738</v>
      </c>
      <c r="W137" s="14">
        <f>iferror(average(EBITDA_MARGIN!W20:W23),"")</f>
        <v>-0.303678298</v>
      </c>
      <c r="X137" s="25">
        <f>iferror(average(EBITDA_MARGIN!X20:X23),"")</f>
        <v>0.02262556968</v>
      </c>
      <c r="Y137" s="25" t="str">
        <f>iferror(average(EBITDA_MARGIN!Y20:Y23),"")</f>
        <v/>
      </c>
      <c r="Z137" s="25" t="str">
        <f>iferror(average(EBITDA_MARGIN!Z20:Z23),"")</f>
        <v/>
      </c>
      <c r="AA137" s="25" t="str">
        <f>iferror(average(EBITDA_MARGIN!AA20:AA23),"")</f>
        <v/>
      </c>
      <c r="AB137" s="25" t="str">
        <f>iferror(average(EBITDA_MARGIN!AB20:AB23),"")</f>
        <v/>
      </c>
      <c r="AC137" s="25" t="str">
        <f>iferror(average(EBITDA_MARGIN!AC20:AC23),"")</f>
        <v/>
      </c>
      <c r="AD137" s="12"/>
    </row>
    <row r="138">
      <c r="A138" s="15" t="s">
        <v>51</v>
      </c>
      <c r="B138" s="14" t="str">
        <f>iferror(average(EBITDA_MARGIN!B21:B24),"")</f>
        <v/>
      </c>
      <c r="C138" s="14">
        <f>iferror(average(EBITDA_MARGIN!C21:C24),"")</f>
        <v>0.01416660145</v>
      </c>
      <c r="D138" s="14">
        <f>iferror(average(EBITDA_MARGIN!D21:D24),"")</f>
        <v>0.05665440066</v>
      </c>
      <c r="E138" s="14">
        <f>iferror(average(EBITDA_MARGIN!E21:E24),"")</f>
        <v>-0.05010487957</v>
      </c>
      <c r="F138" s="14" t="str">
        <f>iferror(average(EBITDA_MARGIN!F21:F24),"")</f>
        <v/>
      </c>
      <c r="G138" s="14" t="str">
        <f>iferror(average(EBITDA_MARGIN!G21:G24),"")</f>
        <v/>
      </c>
      <c r="H138" s="14" t="str">
        <f>iferror(average(EBITDA_MARGIN!H21:H24),"")</f>
        <v/>
      </c>
      <c r="I138" s="14" t="str">
        <f>iferror(average(EBITDA_MARGIN!I21:I24),"")</f>
        <v/>
      </c>
      <c r="J138" s="14" t="str">
        <f>iferror(average(EBITDA_MARGIN!J21:J24),"")</f>
        <v/>
      </c>
      <c r="K138" s="14"/>
      <c r="L138" s="14" t="str">
        <f>iferror(average(EBITDA_MARGIN!L21:L24),"")</f>
        <v/>
      </c>
      <c r="M138" s="14" t="str">
        <f>iferror(average(EBITDA_MARGIN!M21:M24),"")</f>
        <v/>
      </c>
      <c r="N138" s="14" t="str">
        <f>iferror(average(EBITDA_MARGIN!N21:N24),"")</f>
        <v/>
      </c>
      <c r="O138" s="14">
        <f>iferror(average(EBITDA_MARGIN!O21:O24),"")</f>
        <v>-0.7789275635</v>
      </c>
      <c r="P138" s="14" t="str">
        <f>iferror(average(EBITDA_MARGIN!P21:P24),"")</f>
        <v/>
      </c>
      <c r="Q138" s="14" t="str">
        <f>iferror(average(EBITDA_MARGIN!Q21:Q24),"")</f>
        <v/>
      </c>
      <c r="R138" s="14"/>
      <c r="S138" s="14">
        <f>iferror(average(EBITDA_MARGIN!S21:S24),"")</f>
        <v>-1.016946445</v>
      </c>
      <c r="T138" s="14" t="str">
        <f>iferror(average(EBITDA_MARGIN!T21:T24),"")</f>
        <v/>
      </c>
      <c r="U138" s="14" t="str">
        <f>iferror(average(EBITDA_MARGIN!U21:U24),"")</f>
        <v/>
      </c>
      <c r="V138" s="14">
        <f>iferror(average(EBITDA_MARGIN!V21:V24),"")</f>
        <v>-1.240207175</v>
      </c>
      <c r="W138" s="14">
        <f>iferror(average(EBITDA_MARGIN!W21:W24),"")</f>
        <v>-0.303678298</v>
      </c>
      <c r="X138" s="25">
        <f>iferror(average(EBITDA_MARGIN!X21:X24),"")</f>
        <v>0.02087821052</v>
      </c>
      <c r="Y138" s="25" t="str">
        <f>iferror(average(EBITDA_MARGIN!Y21:Y24),"")</f>
        <v/>
      </c>
      <c r="Z138" s="25" t="str">
        <f>iferror(average(EBITDA_MARGIN!Z21:Z24),"")</f>
        <v/>
      </c>
      <c r="AA138" s="25" t="str">
        <f>iferror(average(EBITDA_MARGIN!AA21:AA24),"")</f>
        <v/>
      </c>
      <c r="AB138" s="25" t="str">
        <f>iferror(average(EBITDA_MARGIN!AB21:AB24),"")</f>
        <v/>
      </c>
      <c r="AC138" s="25" t="str">
        <f>iferror(average(EBITDA_MARGIN!AC21:AC24),"")</f>
        <v/>
      </c>
      <c r="AD138" s="12"/>
    </row>
    <row r="139">
      <c r="A139" s="15" t="s">
        <v>52</v>
      </c>
      <c r="B139" s="14" t="str">
        <f>iferror(average(EBITDA_MARGIN!B22:B25),"")</f>
        <v/>
      </c>
      <c r="C139" s="14">
        <f>iferror(average(EBITDA_MARGIN!C22:C25),"")</f>
        <v>0.01836960232</v>
      </c>
      <c r="D139" s="14">
        <f>iferror(average(EBITDA_MARGIN!D22:D25),"")</f>
        <v>0.114180143</v>
      </c>
      <c r="E139" s="14">
        <f>iferror(average(EBITDA_MARGIN!E22:E25),"")</f>
        <v>0.1108607461</v>
      </c>
      <c r="F139" s="14" t="str">
        <f>iferror(average(EBITDA_MARGIN!F22:F25),"")</f>
        <v/>
      </c>
      <c r="G139" s="14" t="str">
        <f>iferror(average(EBITDA_MARGIN!G22:G25),"")</f>
        <v/>
      </c>
      <c r="H139" s="14" t="str">
        <f>iferror(average(EBITDA_MARGIN!H22:H25),"")</f>
        <v/>
      </c>
      <c r="I139" s="14" t="str">
        <f>iferror(average(EBITDA_MARGIN!I22:I25),"")</f>
        <v/>
      </c>
      <c r="J139" s="14" t="str">
        <f>iferror(average(EBITDA_MARGIN!J22:J25),"")</f>
        <v/>
      </c>
      <c r="K139" s="14"/>
      <c r="L139" s="14" t="str">
        <f>iferror(average(EBITDA_MARGIN!L22:L25),"")</f>
        <v/>
      </c>
      <c r="M139" s="14" t="str">
        <f>iferror(average(EBITDA_MARGIN!M22:M25),"")</f>
        <v/>
      </c>
      <c r="N139" s="14" t="str">
        <f>iferror(average(EBITDA_MARGIN!N22:N25),"")</f>
        <v/>
      </c>
      <c r="O139" s="14">
        <f>iferror(average(EBITDA_MARGIN!O22:O25),"")</f>
        <v>-0.6997259757</v>
      </c>
      <c r="P139" s="14" t="str">
        <f>iferror(average(EBITDA_MARGIN!P22:P25),"")</f>
        <v/>
      </c>
      <c r="Q139" s="14" t="str">
        <f>iferror(average(EBITDA_MARGIN!Q22:Q25),"")</f>
        <v/>
      </c>
      <c r="R139" s="14"/>
      <c r="S139" s="14">
        <f>iferror(average(EBITDA_MARGIN!S22:S25),"")</f>
        <v>-0.6134625427</v>
      </c>
      <c r="T139" s="14" t="str">
        <f>iferror(average(EBITDA_MARGIN!T22:T25),"")</f>
        <v/>
      </c>
      <c r="U139" s="14" t="str">
        <f>iferror(average(EBITDA_MARGIN!U22:U25),"")</f>
        <v/>
      </c>
      <c r="V139" s="14">
        <f>iferror(average(EBITDA_MARGIN!V22:V25),"")</f>
        <v>-0.6710266119</v>
      </c>
      <c r="W139" s="14">
        <f>iferror(average(EBITDA_MARGIN!W22:W25),"")</f>
        <v>-0.303678298</v>
      </c>
      <c r="X139" s="25">
        <f>iferror(average(EBITDA_MARGIN!X22:X25),"")</f>
        <v>0.05437873497</v>
      </c>
      <c r="Y139" s="25" t="str">
        <f>iferror(average(EBITDA_MARGIN!Y22:Y25),"")</f>
        <v/>
      </c>
      <c r="Z139" s="25" t="str">
        <f>iferror(average(EBITDA_MARGIN!Z22:Z25),"")</f>
        <v/>
      </c>
      <c r="AA139" s="25" t="str">
        <f>iferror(average(EBITDA_MARGIN!AA22:AA25),"")</f>
        <v/>
      </c>
      <c r="AB139" s="25" t="str">
        <f>iferror(average(EBITDA_MARGIN!AB22:AB25),"")</f>
        <v/>
      </c>
      <c r="AC139" s="25" t="str">
        <f>iferror(average(EBITDA_MARGIN!AC22:AC25),"")</f>
        <v/>
      </c>
      <c r="AD139" s="12"/>
    </row>
    <row r="140">
      <c r="A140" s="15" t="s">
        <v>53</v>
      </c>
      <c r="B140" s="14" t="str">
        <f>iferror(average(EBITDA_MARGIN!B23:B26),"")</f>
        <v/>
      </c>
      <c r="C140" s="14">
        <f>iferror(average(EBITDA_MARGIN!C23:C26),"")</f>
        <v>0.02257260319</v>
      </c>
      <c r="D140" s="14">
        <f>iferror(average(EBITDA_MARGIN!D23:D26),"")</f>
        <v>0.1717058853</v>
      </c>
      <c r="E140" s="14">
        <f>iferror(average(EBITDA_MARGIN!E23:E26),"")</f>
        <v>0.2718263718</v>
      </c>
      <c r="F140" s="14" t="str">
        <f>iferror(average(EBITDA_MARGIN!F23:F26),"")</f>
        <v/>
      </c>
      <c r="G140" s="14" t="str">
        <f>iferror(average(EBITDA_MARGIN!G23:G26),"")</f>
        <v/>
      </c>
      <c r="H140" s="14" t="str">
        <f>iferror(average(EBITDA_MARGIN!H23:H26),"")</f>
        <v/>
      </c>
      <c r="I140" s="14" t="str">
        <f>iferror(average(EBITDA_MARGIN!I23:I26),"")</f>
        <v/>
      </c>
      <c r="J140" s="14" t="str">
        <f>iferror(average(EBITDA_MARGIN!J23:J26),"")</f>
        <v/>
      </c>
      <c r="K140" s="14"/>
      <c r="L140" s="14" t="str">
        <f>iferror(average(EBITDA_MARGIN!L23:L26),"")</f>
        <v/>
      </c>
      <c r="M140" s="14" t="str">
        <f>iferror(average(EBITDA_MARGIN!M23:M26),"")</f>
        <v/>
      </c>
      <c r="N140" s="14" t="str">
        <f>iferror(average(EBITDA_MARGIN!N23:N26),"")</f>
        <v/>
      </c>
      <c r="O140" s="14">
        <f>iferror(average(EBITDA_MARGIN!O23:O26),"")</f>
        <v>-0.6205243878</v>
      </c>
      <c r="P140" s="14" t="str">
        <f>iferror(average(EBITDA_MARGIN!P23:P26),"")</f>
        <v/>
      </c>
      <c r="Q140" s="14" t="str">
        <f>iferror(average(EBITDA_MARGIN!Q23:Q26),"")</f>
        <v/>
      </c>
      <c r="R140" s="14"/>
      <c r="S140" s="14">
        <f>iferror(average(EBITDA_MARGIN!S23:S26),"")</f>
        <v>-0.2099786407</v>
      </c>
      <c r="T140" s="14" t="str">
        <f>iferror(average(EBITDA_MARGIN!T23:T26),"")</f>
        <v/>
      </c>
      <c r="U140" s="14" t="str">
        <f>iferror(average(EBITDA_MARGIN!U23:U26),"")</f>
        <v/>
      </c>
      <c r="V140" s="14">
        <f>iferror(average(EBITDA_MARGIN!V23:V26),"")</f>
        <v>-0.1018460487</v>
      </c>
      <c r="W140" s="14" t="str">
        <f>iferror(average(EBITDA_MARGIN!W23:W26),"")</f>
        <v/>
      </c>
      <c r="X140" s="25">
        <f>iferror(average(EBITDA_MARGIN!X23:X26),"")</f>
        <v>0.08787925941</v>
      </c>
      <c r="Y140" s="25" t="str">
        <f>iferror(average(EBITDA_MARGIN!Y23:Y26),"")</f>
        <v/>
      </c>
      <c r="Z140" s="25" t="str">
        <f>iferror(average(EBITDA_MARGIN!Z23:Z26),"")</f>
        <v/>
      </c>
      <c r="AA140" s="25" t="str">
        <f>iferror(average(EBITDA_MARGIN!AA23:AA26),"")</f>
        <v/>
      </c>
      <c r="AB140" s="25" t="str">
        <f>iferror(average(EBITDA_MARGIN!AB23:AB26),"")</f>
        <v/>
      </c>
      <c r="AC140" s="25" t="str">
        <f>iferror(average(EBITDA_MARGIN!AC23:AC26),"")</f>
        <v/>
      </c>
      <c r="AD140" s="12"/>
    </row>
    <row r="141">
      <c r="A141" s="15" t="s">
        <v>54</v>
      </c>
      <c r="B141" s="14" t="str">
        <f>iferror(average(EBITDA_MARGIN!B24:B27),"")</f>
        <v/>
      </c>
      <c r="C141" s="14">
        <f>iferror(average(EBITDA_MARGIN!C24:C27),"")</f>
        <v>0.02445642189</v>
      </c>
      <c r="D141" s="14">
        <f>iferror(average(EBITDA_MARGIN!D24:D27),"")</f>
        <v>0.167887988</v>
      </c>
      <c r="E141" s="14">
        <f>iferror(average(EBITDA_MARGIN!E24:E27),"")</f>
        <v>0.2938163774</v>
      </c>
      <c r="F141" s="14" t="str">
        <f>iferror(average(EBITDA_MARGIN!F24:F27),"")</f>
        <v/>
      </c>
      <c r="G141" s="14" t="str">
        <f>iferror(average(EBITDA_MARGIN!G24:G27),"")</f>
        <v/>
      </c>
      <c r="H141" s="14" t="str">
        <f>iferror(average(EBITDA_MARGIN!H24:H27),"")</f>
        <v/>
      </c>
      <c r="I141" s="14" t="str">
        <f>iferror(average(EBITDA_MARGIN!I24:I27),"")</f>
        <v/>
      </c>
      <c r="J141" s="14" t="str">
        <f>iferror(average(EBITDA_MARGIN!J24:J27),"")</f>
        <v/>
      </c>
      <c r="K141" s="14"/>
      <c r="L141" s="14" t="str">
        <f>iferror(average(EBITDA_MARGIN!L24:L27),"")</f>
        <v/>
      </c>
      <c r="M141" s="14" t="str">
        <f>iferror(average(EBITDA_MARGIN!M24:M27),"")</f>
        <v/>
      </c>
      <c r="N141" s="14" t="str">
        <f>iferror(average(EBITDA_MARGIN!N24:N27),"")</f>
        <v/>
      </c>
      <c r="O141" s="14">
        <f>iferror(average(EBITDA_MARGIN!O24:O27),"")</f>
        <v>-0.5413228</v>
      </c>
      <c r="P141" s="14" t="str">
        <f>iferror(average(EBITDA_MARGIN!P24:P27),"")</f>
        <v/>
      </c>
      <c r="Q141" s="14" t="str">
        <f>iferror(average(EBITDA_MARGIN!Q24:Q27),"")</f>
        <v/>
      </c>
      <c r="R141" s="14"/>
      <c r="S141" s="14">
        <f>iferror(average(EBITDA_MARGIN!S24:S27),"")</f>
        <v>-0.2207905435</v>
      </c>
      <c r="T141" s="14" t="str">
        <f>iferror(average(EBITDA_MARGIN!T24:T27),"")</f>
        <v/>
      </c>
      <c r="U141" s="14" t="str">
        <f>iferror(average(EBITDA_MARGIN!U24:U27),"")</f>
        <v/>
      </c>
      <c r="V141" s="14">
        <f>iferror(average(EBITDA_MARGIN!V24:V27),"")</f>
        <v>-0.09295437606</v>
      </c>
      <c r="W141" s="14" t="str">
        <f>iferror(average(EBITDA_MARGIN!W24:W27),"")</f>
        <v/>
      </c>
      <c r="X141" s="25">
        <f>iferror(average(EBITDA_MARGIN!X24:X27),"")</f>
        <v>0.1213797839</v>
      </c>
      <c r="Y141" s="25" t="str">
        <f>iferror(average(EBITDA_MARGIN!Y24:Y27),"")</f>
        <v/>
      </c>
      <c r="Z141" s="25" t="str">
        <f>iferror(average(EBITDA_MARGIN!Z24:Z27),"")</f>
        <v/>
      </c>
      <c r="AA141" s="25" t="str">
        <f>iferror(average(EBITDA_MARGIN!AA24:AA27),"")</f>
        <v/>
      </c>
      <c r="AB141" s="25" t="str">
        <f>iferror(average(EBITDA_MARGIN!AB24:AB27),"")</f>
        <v/>
      </c>
      <c r="AC141" s="25" t="str">
        <f>iferror(average(EBITDA_MARGIN!AC24:AC27),"")</f>
        <v/>
      </c>
      <c r="AD141" s="12"/>
    </row>
    <row r="142">
      <c r="A142" s="15" t="s">
        <v>55</v>
      </c>
      <c r="B142" s="14" t="str">
        <f>iferror(average(EBITDA_MARGIN!B25:B28),"")</f>
        <v/>
      </c>
      <c r="C142" s="14">
        <f>iferror(average(EBITDA_MARGIN!C25:C28),"")</f>
        <v>0.02634024058</v>
      </c>
      <c r="D142" s="14">
        <f>iferror(average(EBITDA_MARGIN!D25:D28),"")</f>
        <v>0.1640700908</v>
      </c>
      <c r="E142" s="14">
        <f>iferror(average(EBITDA_MARGIN!E25:E28),"")</f>
        <v>0.315806383</v>
      </c>
      <c r="F142" s="14" t="str">
        <f>iferror(average(EBITDA_MARGIN!F25:F28),"")</f>
        <v/>
      </c>
      <c r="G142" s="14" t="str">
        <f>iferror(average(EBITDA_MARGIN!G25:G28),"")</f>
        <v/>
      </c>
      <c r="H142" s="14" t="str">
        <f>iferror(average(EBITDA_MARGIN!H25:H28),"")</f>
        <v/>
      </c>
      <c r="I142" s="14" t="str">
        <f>iferror(average(EBITDA_MARGIN!I25:I28),"")</f>
        <v/>
      </c>
      <c r="J142" s="14" t="str">
        <f>iferror(average(EBITDA_MARGIN!J25:J28),"")</f>
        <v/>
      </c>
      <c r="K142" s="14"/>
      <c r="L142" s="14" t="str">
        <f>iferror(average(EBITDA_MARGIN!L25:L28),"")</f>
        <v/>
      </c>
      <c r="M142" s="14" t="str">
        <f>iferror(average(EBITDA_MARGIN!M25:M28),"")</f>
        <v/>
      </c>
      <c r="N142" s="14" t="str">
        <f>iferror(average(EBITDA_MARGIN!N25:N28),"")</f>
        <v/>
      </c>
      <c r="O142" s="14">
        <f>iferror(average(EBITDA_MARGIN!O25:O28),"")</f>
        <v>-0.4621212121</v>
      </c>
      <c r="P142" s="14" t="str">
        <f>iferror(average(EBITDA_MARGIN!P25:P28),"")</f>
        <v/>
      </c>
      <c r="Q142" s="14" t="str">
        <f>iferror(average(EBITDA_MARGIN!Q25:Q28),"")</f>
        <v/>
      </c>
      <c r="R142" s="14"/>
      <c r="S142" s="14">
        <f>iferror(average(EBITDA_MARGIN!S25:S28),"")</f>
        <v>-0.2316024463</v>
      </c>
      <c r="T142" s="14" t="str">
        <f>iferror(average(EBITDA_MARGIN!T25:T28),"")</f>
        <v/>
      </c>
      <c r="U142" s="14" t="str">
        <f>iferror(average(EBITDA_MARGIN!U25:U28),"")</f>
        <v/>
      </c>
      <c r="V142" s="14">
        <f>iferror(average(EBITDA_MARGIN!V25:V28),"")</f>
        <v>-0.08406270346</v>
      </c>
      <c r="W142" s="14" t="str">
        <f>iferror(average(EBITDA_MARGIN!W25:W28),"")</f>
        <v/>
      </c>
      <c r="X142" s="25">
        <f>iferror(average(EBITDA_MARGIN!X25:X28),"")</f>
        <v>0.1548803083</v>
      </c>
      <c r="Y142" s="25" t="str">
        <f>iferror(average(EBITDA_MARGIN!Y25:Y28),"")</f>
        <v/>
      </c>
      <c r="Z142" s="25" t="str">
        <f>iferror(average(EBITDA_MARGIN!Z25:Z28),"")</f>
        <v/>
      </c>
      <c r="AA142" s="25" t="str">
        <f>iferror(average(EBITDA_MARGIN!AA25:AA28),"")</f>
        <v/>
      </c>
      <c r="AB142" s="25" t="str">
        <f>iferror(average(EBITDA_MARGIN!AB25:AB28),"")</f>
        <v/>
      </c>
      <c r="AC142" s="25" t="str">
        <f>iferror(average(EBITDA_MARGIN!AC25:AC28),"")</f>
        <v/>
      </c>
      <c r="AD142" s="12"/>
    </row>
    <row r="143">
      <c r="A143" s="15" t="s">
        <v>56</v>
      </c>
      <c r="B143" s="14" t="str">
        <f>iferror(average(EBITDA_MARGIN!B26:B29),"")</f>
        <v/>
      </c>
      <c r="C143" s="14">
        <f>iferror(average(EBITDA_MARGIN!C26:C29),"")</f>
        <v>0.02822405928</v>
      </c>
      <c r="D143" s="14">
        <f>iferror(average(EBITDA_MARGIN!D26:D29),"")</f>
        <v>0.1602521935</v>
      </c>
      <c r="E143" s="14">
        <f>iferror(average(EBITDA_MARGIN!E26:E29),"")</f>
        <v>0.3377963886</v>
      </c>
      <c r="F143" s="14" t="str">
        <f>iferror(average(EBITDA_MARGIN!F26:F29),"")</f>
        <v/>
      </c>
      <c r="G143" s="14" t="str">
        <f>iferror(average(EBITDA_MARGIN!G26:G29),"")</f>
        <v/>
      </c>
      <c r="H143" s="14" t="str">
        <f>iferror(average(EBITDA_MARGIN!H26:H29),"")</f>
        <v/>
      </c>
      <c r="I143" s="14" t="str">
        <f>iferror(average(EBITDA_MARGIN!I26:I29),"")</f>
        <v/>
      </c>
      <c r="J143" s="14" t="str">
        <f>iferror(average(EBITDA_MARGIN!J26:J29),"")</f>
        <v/>
      </c>
      <c r="K143" s="14"/>
      <c r="L143" s="14" t="str">
        <f>iferror(average(EBITDA_MARGIN!L26:L29),"")</f>
        <v/>
      </c>
      <c r="M143" s="14" t="str">
        <f>iferror(average(EBITDA_MARGIN!M26:M29),"")</f>
        <v/>
      </c>
      <c r="N143" s="14" t="str">
        <f>iferror(average(EBITDA_MARGIN!N26:N29),"")</f>
        <v/>
      </c>
      <c r="O143" s="14">
        <f>iferror(average(EBITDA_MARGIN!O26:O29),"")</f>
        <v>-0.5201529676</v>
      </c>
      <c r="P143" s="14" t="str">
        <f>iferror(average(EBITDA_MARGIN!P26:P29),"")</f>
        <v/>
      </c>
      <c r="Q143" s="14" t="str">
        <f>iferror(average(EBITDA_MARGIN!Q26:Q29),"")</f>
        <v/>
      </c>
      <c r="R143" s="14"/>
      <c r="S143" s="14">
        <f>iferror(average(EBITDA_MARGIN!S26:S29),"")</f>
        <v>-0.2424143492</v>
      </c>
      <c r="T143" s="14" t="str">
        <f>iferror(average(EBITDA_MARGIN!T26:T29),"")</f>
        <v/>
      </c>
      <c r="U143" s="14" t="str">
        <f>iferror(average(EBITDA_MARGIN!U26:U29),"")</f>
        <v/>
      </c>
      <c r="V143" s="14">
        <f>iferror(average(EBITDA_MARGIN!V26:V29),"")</f>
        <v>-0.07517103085</v>
      </c>
      <c r="W143" s="14" t="str">
        <f>iferror(average(EBITDA_MARGIN!W26:W29),"")</f>
        <v/>
      </c>
      <c r="X143" s="25">
        <f>iferror(average(EBITDA_MARGIN!X26:X29),"")</f>
        <v>0.1552297996</v>
      </c>
      <c r="Y143" s="25" t="str">
        <f>iferror(average(EBITDA_MARGIN!Y26:Y29),"")</f>
        <v/>
      </c>
      <c r="Z143" s="25" t="str">
        <f>iferror(average(EBITDA_MARGIN!Z26:Z29),"")</f>
        <v/>
      </c>
      <c r="AA143" s="25" t="str">
        <f>iferror(average(EBITDA_MARGIN!AA26:AA29),"")</f>
        <v/>
      </c>
      <c r="AB143" s="25" t="str">
        <f>iferror(average(EBITDA_MARGIN!AB26:AB29),"")</f>
        <v/>
      </c>
      <c r="AC143" s="25" t="str">
        <f>iferror(average(EBITDA_MARGIN!AC26:AC29),"")</f>
        <v/>
      </c>
      <c r="AD143" s="12"/>
    </row>
    <row r="144">
      <c r="A144" s="15" t="s">
        <v>57</v>
      </c>
      <c r="B144" s="14" t="str">
        <f>iferror(average(EBITDA_MARGIN!B27:B30),"")</f>
        <v/>
      </c>
      <c r="C144" s="14">
        <f>iferror(average(EBITDA_MARGIN!C27:C30),"")</f>
        <v>0.03010787798</v>
      </c>
      <c r="D144" s="14">
        <f>iferror(average(EBITDA_MARGIN!D27:D30),"")</f>
        <v>0.1564342962</v>
      </c>
      <c r="E144" s="14">
        <f>iferror(average(EBITDA_MARGIN!E27:E30),"")</f>
        <v>0.3597863942</v>
      </c>
      <c r="F144" s="14" t="str">
        <f>iferror(average(EBITDA_MARGIN!F27:F30),"")</f>
        <v/>
      </c>
      <c r="G144" s="14" t="str">
        <f>iferror(average(EBITDA_MARGIN!G27:G30),"")</f>
        <v/>
      </c>
      <c r="H144" s="14" t="str">
        <f>iferror(average(EBITDA_MARGIN!H27:H30),"")</f>
        <v/>
      </c>
      <c r="I144" s="14" t="str">
        <f>iferror(average(EBITDA_MARGIN!I27:I30),"")</f>
        <v/>
      </c>
      <c r="J144" s="14" t="str">
        <f>iferror(average(EBITDA_MARGIN!J27:J30),"")</f>
        <v/>
      </c>
      <c r="K144" s="14"/>
      <c r="L144" s="14" t="str">
        <f>iferror(average(EBITDA_MARGIN!L27:L30),"")</f>
        <v/>
      </c>
      <c r="M144" s="14" t="str">
        <f>iferror(average(EBITDA_MARGIN!M27:M30),"")</f>
        <v/>
      </c>
      <c r="N144" s="14" t="str">
        <f>iferror(average(EBITDA_MARGIN!N27:N30),"")</f>
        <v/>
      </c>
      <c r="O144" s="14">
        <f>iferror(average(EBITDA_MARGIN!O27:O30),"")</f>
        <v>-0.5781847231</v>
      </c>
      <c r="P144" s="14" t="str">
        <f>iferror(average(EBITDA_MARGIN!P27:P30),"")</f>
        <v/>
      </c>
      <c r="Q144" s="14" t="str">
        <f>iferror(average(EBITDA_MARGIN!Q27:Q30),"")</f>
        <v/>
      </c>
      <c r="R144" s="14"/>
      <c r="S144" s="14">
        <f>iferror(average(EBITDA_MARGIN!S27:S30),"")</f>
        <v>-0.253226252</v>
      </c>
      <c r="T144" s="14" t="str">
        <f>iferror(average(EBITDA_MARGIN!T27:T30),"")</f>
        <v/>
      </c>
      <c r="U144" s="14" t="str">
        <f>iferror(average(EBITDA_MARGIN!U27:U30),"")</f>
        <v/>
      </c>
      <c r="V144" s="14">
        <f>iferror(average(EBITDA_MARGIN!V27:V30),"")</f>
        <v>-0.06627935825</v>
      </c>
      <c r="W144" s="14" t="str">
        <f>iferror(average(EBITDA_MARGIN!W27:W30),"")</f>
        <v/>
      </c>
      <c r="X144" s="25">
        <f>iferror(average(EBITDA_MARGIN!X27:X30),"")</f>
        <v>0.1555792909</v>
      </c>
      <c r="Y144" s="25" t="str">
        <f>iferror(average(EBITDA_MARGIN!Y27:Y30),"")</f>
        <v/>
      </c>
      <c r="Z144" s="25" t="str">
        <f>iferror(average(EBITDA_MARGIN!Z27:Z30),"")</f>
        <v/>
      </c>
      <c r="AA144" s="25" t="str">
        <f>iferror(average(EBITDA_MARGIN!AA27:AA30),"")</f>
        <v/>
      </c>
      <c r="AB144" s="25" t="str">
        <f>iferror(average(EBITDA_MARGIN!AB27:AB30),"")</f>
        <v/>
      </c>
      <c r="AC144" s="25" t="str">
        <f>iferror(average(EBITDA_MARGIN!AC27:AC30),"")</f>
        <v/>
      </c>
      <c r="AD144" s="12"/>
    </row>
    <row r="145">
      <c r="A145" s="15" t="s">
        <v>58</v>
      </c>
      <c r="B145" s="14" t="str">
        <f>iferror(average(EBITDA_MARGIN!B28:B31),"")</f>
        <v/>
      </c>
      <c r="C145" s="14">
        <f>iferror(average(EBITDA_MARGIN!C28:C31),"")</f>
        <v>0.03482947909</v>
      </c>
      <c r="D145" s="14">
        <f>iferror(average(EBITDA_MARGIN!D28:D31),"")</f>
        <v>0.1728909841</v>
      </c>
      <c r="E145" s="14">
        <f>iferror(average(EBITDA_MARGIN!E28:E31),"")</f>
        <v>0.3737714865</v>
      </c>
      <c r="F145" s="14" t="str">
        <f>iferror(average(EBITDA_MARGIN!F28:F31),"")</f>
        <v/>
      </c>
      <c r="G145" s="14" t="str">
        <f>iferror(average(EBITDA_MARGIN!G28:G31),"")</f>
        <v/>
      </c>
      <c r="H145" s="14" t="str">
        <f>iferror(average(EBITDA_MARGIN!H28:H31),"")</f>
        <v/>
      </c>
      <c r="I145" s="14" t="str">
        <f>iferror(average(EBITDA_MARGIN!I28:I31),"")</f>
        <v/>
      </c>
      <c r="J145" s="14" t="str">
        <f>iferror(average(EBITDA_MARGIN!J28:J31),"")</f>
        <v/>
      </c>
      <c r="K145" s="14"/>
      <c r="L145" s="14" t="str">
        <f>iferror(average(EBITDA_MARGIN!L28:L31),"")</f>
        <v/>
      </c>
      <c r="M145" s="14" t="str">
        <f>iferror(average(EBITDA_MARGIN!M28:M31),"")</f>
        <v/>
      </c>
      <c r="N145" s="14" t="str">
        <f>iferror(average(EBITDA_MARGIN!N28:N31),"")</f>
        <v/>
      </c>
      <c r="O145" s="14">
        <f>iferror(average(EBITDA_MARGIN!O28:O31),"")</f>
        <v>-0.6362164786</v>
      </c>
      <c r="P145" s="14" t="str">
        <f>iferror(average(EBITDA_MARGIN!P28:P31),"")</f>
        <v/>
      </c>
      <c r="Q145" s="14" t="str">
        <f>iferror(average(EBITDA_MARGIN!Q28:Q31),"")</f>
        <v/>
      </c>
      <c r="R145" s="14"/>
      <c r="S145" s="14">
        <f>iferror(average(EBITDA_MARGIN!S28:S31),"")</f>
        <v>-0.253226252</v>
      </c>
      <c r="T145" s="14" t="str">
        <f>iferror(average(EBITDA_MARGIN!T28:T31),"")</f>
        <v/>
      </c>
      <c r="U145" s="14" t="str">
        <f>iferror(average(EBITDA_MARGIN!U28:U31),"")</f>
        <v/>
      </c>
      <c r="V145" s="14">
        <f>iferror(average(EBITDA_MARGIN!V28:V31),"")</f>
        <v>-0.1111849285</v>
      </c>
      <c r="W145" s="14" t="str">
        <f>iferror(average(EBITDA_MARGIN!W28:W31),"")</f>
        <v/>
      </c>
      <c r="X145" s="25">
        <f>iferror(average(EBITDA_MARGIN!X28:X31),"")</f>
        <v>0.1559287822</v>
      </c>
      <c r="Y145" s="25" t="str">
        <f>iferror(average(EBITDA_MARGIN!Y28:Y31),"")</f>
        <v/>
      </c>
      <c r="Z145" s="25" t="str">
        <f>iferror(average(EBITDA_MARGIN!Z28:Z31),"")</f>
        <v/>
      </c>
      <c r="AA145" s="25" t="str">
        <f>iferror(average(EBITDA_MARGIN!AA28:AA31),"")</f>
        <v/>
      </c>
      <c r="AB145" s="25" t="str">
        <f>iferror(average(EBITDA_MARGIN!AB28:AB31),"")</f>
        <v/>
      </c>
      <c r="AC145" s="25" t="str">
        <f>iferror(average(EBITDA_MARGIN!AC28:AC31),"")</f>
        <v/>
      </c>
      <c r="AD145" s="12"/>
    </row>
    <row r="146">
      <c r="A146" s="15" t="s">
        <v>59</v>
      </c>
      <c r="B146" s="14" t="str">
        <f>iferror(average(EBITDA_MARGIN!B29:B32),"")</f>
        <v/>
      </c>
      <c r="C146" s="14">
        <f>iferror(average(EBITDA_MARGIN!C29:C32),"")</f>
        <v>0.03955108019</v>
      </c>
      <c r="D146" s="14">
        <f>iferror(average(EBITDA_MARGIN!D29:D32),"")</f>
        <v>0.1893476719</v>
      </c>
      <c r="E146" s="14">
        <f>iferror(average(EBITDA_MARGIN!E29:E32),"")</f>
        <v>0.3877565788</v>
      </c>
      <c r="F146" s="14" t="str">
        <f>iferror(average(EBITDA_MARGIN!F29:F32),"")</f>
        <v/>
      </c>
      <c r="G146" s="14" t="str">
        <f>iferror(average(EBITDA_MARGIN!G29:G32),"")</f>
        <v/>
      </c>
      <c r="H146" s="14" t="str">
        <f>iferror(average(EBITDA_MARGIN!H29:H32),"")</f>
        <v/>
      </c>
      <c r="I146" s="14" t="str">
        <f>iferror(average(EBITDA_MARGIN!I29:I32),"")</f>
        <v/>
      </c>
      <c r="J146" s="14" t="str">
        <f>iferror(average(EBITDA_MARGIN!J29:J32),"")</f>
        <v/>
      </c>
      <c r="K146" s="14"/>
      <c r="L146" s="14" t="str">
        <f>iferror(average(EBITDA_MARGIN!L29:L32),"")</f>
        <v/>
      </c>
      <c r="M146" s="14" t="str">
        <f>iferror(average(EBITDA_MARGIN!M29:M32),"")</f>
        <v/>
      </c>
      <c r="N146" s="14" t="str">
        <f>iferror(average(EBITDA_MARGIN!N29:N32),"")</f>
        <v/>
      </c>
      <c r="O146" s="14">
        <f>iferror(average(EBITDA_MARGIN!O29:O32),"")</f>
        <v>-0.6942482341</v>
      </c>
      <c r="P146" s="14" t="str">
        <f>iferror(average(EBITDA_MARGIN!P29:P32),"")</f>
        <v/>
      </c>
      <c r="Q146" s="14" t="str">
        <f>iferror(average(EBITDA_MARGIN!Q29:Q32),"")</f>
        <v/>
      </c>
      <c r="R146" s="14"/>
      <c r="S146" s="14">
        <f>iferror(average(EBITDA_MARGIN!S29:S32),"")</f>
        <v>-0.253226252</v>
      </c>
      <c r="T146" s="14" t="str">
        <f>iferror(average(EBITDA_MARGIN!T29:T32),"")</f>
        <v/>
      </c>
      <c r="U146" s="14" t="str">
        <f>iferror(average(EBITDA_MARGIN!U29:U32),"")</f>
        <v/>
      </c>
      <c r="V146" s="14">
        <f>iferror(average(EBITDA_MARGIN!V29:V32),"")</f>
        <v>-0.1560904988</v>
      </c>
      <c r="W146" s="14" t="str">
        <f>iferror(average(EBITDA_MARGIN!W29:W32),"")</f>
        <v/>
      </c>
      <c r="X146" s="25">
        <f>iferror(average(EBITDA_MARGIN!X29:X32),"")</f>
        <v>0.1562782734</v>
      </c>
      <c r="Y146" s="25" t="str">
        <f>iferror(average(EBITDA_MARGIN!Y29:Y32),"")</f>
        <v/>
      </c>
      <c r="Z146" s="25" t="str">
        <f>iferror(average(EBITDA_MARGIN!Z29:Z32),"")</f>
        <v/>
      </c>
      <c r="AA146" s="25" t="str">
        <f>iferror(average(EBITDA_MARGIN!AA29:AA32),"")</f>
        <v/>
      </c>
      <c r="AB146" s="25" t="str">
        <f>iferror(average(EBITDA_MARGIN!AB29:AB32),"")</f>
        <v/>
      </c>
      <c r="AC146" s="25" t="str">
        <f>iferror(average(EBITDA_MARGIN!AC29:AC32),"")</f>
        <v/>
      </c>
      <c r="AD146" s="12"/>
    </row>
    <row r="147">
      <c r="A147" s="15" t="s">
        <v>60</v>
      </c>
      <c r="B147" s="14" t="str">
        <f>iferror(average(EBITDA_MARGIN!B30:B33),"")</f>
        <v/>
      </c>
      <c r="C147" s="14">
        <f>iferror(average(EBITDA_MARGIN!C30:C33),"")</f>
        <v>0.0442726813</v>
      </c>
      <c r="D147" s="14">
        <f>iferror(average(EBITDA_MARGIN!D30:D33),"")</f>
        <v>0.2058043597</v>
      </c>
      <c r="E147" s="14">
        <f>iferror(average(EBITDA_MARGIN!E30:E33),"")</f>
        <v>0.4017416711</v>
      </c>
      <c r="F147" s="14" t="str">
        <f>iferror(average(EBITDA_MARGIN!F30:F33),"")</f>
        <v/>
      </c>
      <c r="G147" s="14" t="str">
        <f>iferror(average(EBITDA_MARGIN!G30:G33),"")</f>
        <v/>
      </c>
      <c r="H147" s="14" t="str">
        <f>iferror(average(EBITDA_MARGIN!H30:H33),"")</f>
        <v/>
      </c>
      <c r="I147" s="14" t="str">
        <f>iferror(average(EBITDA_MARGIN!I30:I33),"")</f>
        <v/>
      </c>
      <c r="J147" s="14" t="str">
        <f>iferror(average(EBITDA_MARGIN!J30:J33),"")</f>
        <v/>
      </c>
      <c r="K147" s="14"/>
      <c r="L147" s="14" t="str">
        <f>iferror(average(EBITDA_MARGIN!L30:L33),"")</f>
        <v/>
      </c>
      <c r="M147" s="14" t="str">
        <f>iferror(average(EBITDA_MARGIN!M30:M33),"")</f>
        <v/>
      </c>
      <c r="N147" s="14" t="str">
        <f>iferror(average(EBITDA_MARGIN!N30:N33),"")</f>
        <v/>
      </c>
      <c r="O147" s="14">
        <f>iferror(average(EBITDA_MARGIN!O30:O33),"")</f>
        <v>-0.4393578548</v>
      </c>
      <c r="P147" s="14" t="str">
        <f>iferror(average(EBITDA_MARGIN!P30:P33),"")</f>
        <v/>
      </c>
      <c r="Q147" s="14" t="str">
        <f>iferror(average(EBITDA_MARGIN!Q30:Q33),"")</f>
        <v/>
      </c>
      <c r="R147" s="14"/>
      <c r="S147" s="14">
        <f>iferror(average(EBITDA_MARGIN!S30:S33),"")</f>
        <v>-0.253226252</v>
      </c>
      <c r="T147" s="14" t="str">
        <f>iferror(average(EBITDA_MARGIN!T30:T33),"")</f>
        <v/>
      </c>
      <c r="U147" s="14" t="str">
        <f>iferror(average(EBITDA_MARGIN!U30:U33),"")</f>
        <v/>
      </c>
      <c r="V147" s="14">
        <f>iferror(average(EBITDA_MARGIN!V30:V33),"")</f>
        <v>-0.2009960691</v>
      </c>
      <c r="W147" s="14" t="str">
        <f>iferror(average(EBITDA_MARGIN!W30:W33),"")</f>
        <v/>
      </c>
      <c r="X147" s="25">
        <f>iferror(average(EBITDA_MARGIN!X30:X33),"")</f>
        <v>0.1576664605</v>
      </c>
      <c r="Y147" s="25" t="str">
        <f>iferror(average(EBITDA_MARGIN!Y30:Y33),"")</f>
        <v/>
      </c>
      <c r="Z147" s="25" t="str">
        <f>iferror(average(EBITDA_MARGIN!Z30:Z33),"")</f>
        <v/>
      </c>
      <c r="AA147" s="25" t="str">
        <f>iferror(average(EBITDA_MARGIN!AA30:AA33),"")</f>
        <v/>
      </c>
      <c r="AB147" s="25" t="str">
        <f>iferror(average(EBITDA_MARGIN!AB30:AB33),"")</f>
        <v/>
      </c>
      <c r="AC147" s="25" t="str">
        <f>iferror(average(EBITDA_MARGIN!AC30:AC33),"")</f>
        <v/>
      </c>
      <c r="AD147" s="12"/>
    </row>
    <row r="148">
      <c r="A148" s="15" t="s">
        <v>61</v>
      </c>
      <c r="B148" s="14" t="str">
        <f>iferror(average(EBITDA_MARGIN!B31:B34),"")</f>
        <v/>
      </c>
      <c r="C148" s="14">
        <f>iferror(average(EBITDA_MARGIN!C31:C34),"")</f>
        <v>0.04899428241</v>
      </c>
      <c r="D148" s="14">
        <f>iferror(average(EBITDA_MARGIN!D31:D34),"")</f>
        <v>0.2222610475</v>
      </c>
      <c r="E148" s="14">
        <f>iferror(average(EBITDA_MARGIN!E31:E34),"")</f>
        <v>0.4157267634</v>
      </c>
      <c r="F148" s="14" t="str">
        <f>iferror(average(EBITDA_MARGIN!F31:F34),"")</f>
        <v/>
      </c>
      <c r="G148" s="14" t="str">
        <f>iferror(average(EBITDA_MARGIN!G31:G34),"")</f>
        <v/>
      </c>
      <c r="H148" s="14" t="str">
        <f>iferror(average(EBITDA_MARGIN!H31:H34),"")</f>
        <v/>
      </c>
      <c r="I148" s="14" t="str">
        <f>iferror(average(EBITDA_MARGIN!I31:I34),"")</f>
        <v/>
      </c>
      <c r="J148" s="14" t="str">
        <f>iferror(average(EBITDA_MARGIN!J31:J34),"")</f>
        <v/>
      </c>
      <c r="K148" s="14"/>
      <c r="L148" s="14" t="str">
        <f>iferror(average(EBITDA_MARGIN!L31:L34),"")</f>
        <v/>
      </c>
      <c r="M148" s="14" t="str">
        <f>iferror(average(EBITDA_MARGIN!M31:M34),"")</f>
        <v/>
      </c>
      <c r="N148" s="14" t="str">
        <f>iferror(average(EBITDA_MARGIN!N31:N34),"")</f>
        <v/>
      </c>
      <c r="O148" s="14">
        <f>iferror(average(EBITDA_MARGIN!O31:O34),"")</f>
        <v>-0.1844674754</v>
      </c>
      <c r="P148" s="14" t="str">
        <f>iferror(average(EBITDA_MARGIN!P31:P34),"")</f>
        <v/>
      </c>
      <c r="Q148" s="14" t="str">
        <f>iferror(average(EBITDA_MARGIN!Q31:Q34),"")</f>
        <v/>
      </c>
      <c r="R148" s="14"/>
      <c r="S148" s="14" t="str">
        <f>iferror(average(EBITDA_MARGIN!S31:S34),"")</f>
        <v/>
      </c>
      <c r="T148" s="14" t="str">
        <f>iferror(average(EBITDA_MARGIN!T31:T34),"")</f>
        <v/>
      </c>
      <c r="U148" s="14" t="str">
        <f>iferror(average(EBITDA_MARGIN!U31:U34),"")</f>
        <v/>
      </c>
      <c r="V148" s="14">
        <f>iferror(average(EBITDA_MARGIN!V31:V34),"")</f>
        <v>-0.2459016393</v>
      </c>
      <c r="W148" s="14" t="str">
        <f>iferror(average(EBITDA_MARGIN!W31:W34),"")</f>
        <v/>
      </c>
      <c r="X148" s="25">
        <f>iferror(average(EBITDA_MARGIN!X31:X34),"")</f>
        <v>0.1590546475</v>
      </c>
      <c r="Y148" s="25" t="str">
        <f>iferror(average(EBITDA_MARGIN!Y31:Y34),"")</f>
        <v/>
      </c>
      <c r="Z148" s="25" t="str">
        <f>iferror(average(EBITDA_MARGIN!Z31:Z34),"")</f>
        <v/>
      </c>
      <c r="AA148" s="25" t="str">
        <f>iferror(average(EBITDA_MARGIN!AA31:AA34),"")</f>
        <v/>
      </c>
      <c r="AB148" s="25" t="str">
        <f>iferror(average(EBITDA_MARGIN!AB31:AB34),"")</f>
        <v/>
      </c>
      <c r="AC148" s="25" t="str">
        <f>iferror(average(EBITDA_MARGIN!AC31:AC34),"")</f>
        <v/>
      </c>
      <c r="AD148" s="12"/>
    </row>
    <row r="149">
      <c r="A149" s="15" t="s">
        <v>62</v>
      </c>
      <c r="B149" s="14" t="str">
        <f>iferror(average(EBITDA_MARGIN!B32:B35),"")</f>
        <v/>
      </c>
      <c r="C149" s="14">
        <f>iferror(average(EBITDA_MARGIN!C32:C35),"")</f>
        <v>0.05358654866</v>
      </c>
      <c r="D149" s="14">
        <f>iferror(average(EBITDA_MARGIN!D32:D35),"")</f>
        <v>0.2343504422</v>
      </c>
      <c r="E149" s="14">
        <f>iferror(average(EBITDA_MARGIN!E32:E35),"")</f>
        <v>0.4272330212</v>
      </c>
      <c r="F149" s="14" t="str">
        <f>iferror(average(EBITDA_MARGIN!F32:F35),"")</f>
        <v/>
      </c>
      <c r="G149" s="14" t="str">
        <f>iferror(average(EBITDA_MARGIN!G32:G35),"")</f>
        <v/>
      </c>
      <c r="H149" s="14" t="str">
        <f>iferror(average(EBITDA_MARGIN!H32:H35),"")</f>
        <v/>
      </c>
      <c r="I149" s="14" t="str">
        <f>iferror(average(EBITDA_MARGIN!I32:I35),"")</f>
        <v/>
      </c>
      <c r="J149" s="14" t="str">
        <f>iferror(average(EBITDA_MARGIN!J32:J35),"")</f>
        <v/>
      </c>
      <c r="K149" s="14"/>
      <c r="L149" s="14" t="str">
        <f>iferror(average(EBITDA_MARGIN!L32:L35),"")</f>
        <v/>
      </c>
      <c r="M149" s="14" t="str">
        <f>iferror(average(EBITDA_MARGIN!M32:M35),"")</f>
        <v/>
      </c>
      <c r="N149" s="14" t="str">
        <f>iferror(average(EBITDA_MARGIN!N32:N35),"")</f>
        <v/>
      </c>
      <c r="O149" s="14">
        <f>iferror(average(EBITDA_MARGIN!O32:O35),"")</f>
        <v>0.07042290388</v>
      </c>
      <c r="P149" s="14" t="str">
        <f>iferror(average(EBITDA_MARGIN!P32:P35),"")</f>
        <v/>
      </c>
      <c r="Q149" s="14" t="str">
        <f>iferror(average(EBITDA_MARGIN!Q32:Q35),"")</f>
        <v/>
      </c>
      <c r="R149" s="14"/>
      <c r="S149" s="14" t="str">
        <f>iferror(average(EBITDA_MARGIN!S32:S35),"")</f>
        <v/>
      </c>
      <c r="T149" s="14" t="str">
        <f>iferror(average(EBITDA_MARGIN!T32:T35),"")</f>
        <v/>
      </c>
      <c r="U149" s="14" t="str">
        <f>iferror(average(EBITDA_MARGIN!U32:U35),"")</f>
        <v/>
      </c>
      <c r="V149" s="14">
        <f>iferror(average(EBITDA_MARGIN!V32:V35),"")</f>
        <v>-0.2459016393</v>
      </c>
      <c r="W149" s="14" t="str">
        <f>iferror(average(EBITDA_MARGIN!W32:W35),"")</f>
        <v/>
      </c>
      <c r="X149" s="25">
        <f>iferror(average(EBITDA_MARGIN!X32:X35),"")</f>
        <v>0.1604428345</v>
      </c>
      <c r="Y149" s="25" t="str">
        <f>iferror(average(EBITDA_MARGIN!Y32:Y35),"")</f>
        <v/>
      </c>
      <c r="Z149" s="25" t="str">
        <f>iferror(average(EBITDA_MARGIN!Z32:Z35),"")</f>
        <v/>
      </c>
      <c r="AA149" s="25" t="str">
        <f>iferror(average(EBITDA_MARGIN!AA32:AA35),"")</f>
        <v/>
      </c>
      <c r="AB149" s="25" t="str">
        <f>iferror(average(EBITDA_MARGIN!AB32:AB35),"")</f>
        <v/>
      </c>
      <c r="AC149" s="25" t="str">
        <f>iferror(average(EBITDA_MARGIN!AC32:AC35),"")</f>
        <v/>
      </c>
      <c r="AD149" s="12"/>
    </row>
    <row r="150">
      <c r="A150" s="15" t="s">
        <v>63</v>
      </c>
      <c r="B150" s="14" t="str">
        <f>iferror(average(EBITDA_MARGIN!B33:B36),"")</f>
        <v/>
      </c>
      <c r="C150" s="14">
        <f>iferror(average(EBITDA_MARGIN!C33:C36),"")</f>
        <v>0.0581788149</v>
      </c>
      <c r="D150" s="14">
        <f>iferror(average(EBITDA_MARGIN!D33:D36),"")</f>
        <v>0.2464398368</v>
      </c>
      <c r="E150" s="14">
        <f>iferror(average(EBITDA_MARGIN!E33:E36),"")</f>
        <v>0.4387392789</v>
      </c>
      <c r="F150" s="14" t="str">
        <f>iferror(average(EBITDA_MARGIN!F33:F36),"")</f>
        <v/>
      </c>
      <c r="G150" s="14" t="str">
        <f>iferror(average(EBITDA_MARGIN!G33:G36),"")</f>
        <v/>
      </c>
      <c r="H150" s="14" t="str">
        <f>iferror(average(EBITDA_MARGIN!H33:H36),"")</f>
        <v/>
      </c>
      <c r="I150" s="14" t="str">
        <f>iferror(average(EBITDA_MARGIN!I33:I36),"")</f>
        <v/>
      </c>
      <c r="J150" s="14" t="str">
        <f>iferror(average(EBITDA_MARGIN!J33:J36),"")</f>
        <v/>
      </c>
      <c r="K150" s="14"/>
      <c r="L150" s="14" t="str">
        <f>iferror(average(EBITDA_MARGIN!L33:L36),"")</f>
        <v/>
      </c>
      <c r="M150" s="14" t="str">
        <f>iferror(average(EBITDA_MARGIN!M33:M36),"")</f>
        <v/>
      </c>
      <c r="N150" s="14" t="str">
        <f>iferror(average(EBITDA_MARGIN!N33:N36),"")</f>
        <v/>
      </c>
      <c r="O150" s="14">
        <f>iferror(average(EBITDA_MARGIN!O33:O36),"")</f>
        <v>0.3253132832</v>
      </c>
      <c r="P150" s="14" t="str">
        <f>iferror(average(EBITDA_MARGIN!P33:P36),"")</f>
        <v/>
      </c>
      <c r="Q150" s="14" t="str">
        <f>iferror(average(EBITDA_MARGIN!Q33:Q36),"")</f>
        <v/>
      </c>
      <c r="R150" s="14"/>
      <c r="S150" s="14" t="str">
        <f>iferror(average(EBITDA_MARGIN!S33:S36),"")</f>
        <v/>
      </c>
      <c r="T150" s="14" t="str">
        <f>iferror(average(EBITDA_MARGIN!T33:T36),"")</f>
        <v/>
      </c>
      <c r="U150" s="14" t="str">
        <f>iferror(average(EBITDA_MARGIN!U33:U36),"")</f>
        <v/>
      </c>
      <c r="V150" s="14">
        <f>iferror(average(EBITDA_MARGIN!V33:V36),"")</f>
        <v>-0.2459016393</v>
      </c>
      <c r="W150" s="14" t="str">
        <f>iferror(average(EBITDA_MARGIN!W33:W36),"")</f>
        <v/>
      </c>
      <c r="X150" s="25">
        <f>iferror(average(EBITDA_MARGIN!X33:X36),"")</f>
        <v>0.1618310215</v>
      </c>
      <c r="Y150" s="25" t="str">
        <f>iferror(average(EBITDA_MARGIN!Y33:Y36),"")</f>
        <v/>
      </c>
      <c r="Z150" s="25" t="str">
        <f>iferror(average(EBITDA_MARGIN!Z33:Z36),"")</f>
        <v/>
      </c>
      <c r="AA150" s="25" t="str">
        <f>iferror(average(EBITDA_MARGIN!AA33:AA36),"")</f>
        <v/>
      </c>
      <c r="AB150" s="25" t="str">
        <f>iferror(average(EBITDA_MARGIN!AB33:AB36),"")</f>
        <v/>
      </c>
      <c r="AC150" s="25" t="str">
        <f>iferror(average(EBITDA_MARGIN!AC33:AC36),"")</f>
        <v/>
      </c>
      <c r="AD150" s="12"/>
    </row>
    <row r="151">
      <c r="A151" s="15" t="s">
        <v>64</v>
      </c>
      <c r="B151" s="14" t="str">
        <f>iferror(average(EBITDA_MARGIN!B34:B37),"")</f>
        <v/>
      </c>
      <c r="C151" s="14">
        <f>iferror(average(EBITDA_MARGIN!C34:C37),"")</f>
        <v>0.06277108115</v>
      </c>
      <c r="D151" s="14">
        <f>iferror(average(EBITDA_MARGIN!D34:D37),"")</f>
        <v>0.2585292314</v>
      </c>
      <c r="E151" s="14">
        <f>iferror(average(EBITDA_MARGIN!E34:E37),"")</f>
        <v>0.4502455367</v>
      </c>
      <c r="F151" s="14" t="str">
        <f>iferror(average(EBITDA_MARGIN!F34:F37),"")</f>
        <v/>
      </c>
      <c r="G151" s="14" t="str">
        <f>iferror(average(EBITDA_MARGIN!G34:G37),"")</f>
        <v/>
      </c>
      <c r="H151" s="14" t="str">
        <f>iferror(average(EBITDA_MARGIN!H34:H37),"")</f>
        <v/>
      </c>
      <c r="I151" s="14" t="str">
        <f>iferror(average(EBITDA_MARGIN!I34:I37),"")</f>
        <v/>
      </c>
      <c r="J151" s="14" t="str">
        <f>iferror(average(EBITDA_MARGIN!J34:J37),"")</f>
        <v/>
      </c>
      <c r="K151" s="14"/>
      <c r="L151" s="14" t="str">
        <f>iferror(average(EBITDA_MARGIN!L34:L37),"")</f>
        <v/>
      </c>
      <c r="M151" s="14" t="str">
        <f>iferror(average(EBITDA_MARGIN!M34:M37),"")</f>
        <v/>
      </c>
      <c r="N151" s="14" t="str">
        <f>iferror(average(EBITDA_MARGIN!N34:N37),"")</f>
        <v/>
      </c>
      <c r="O151" s="14">
        <f>iferror(average(EBITDA_MARGIN!O34:O37),"")</f>
        <v>0.3274835047</v>
      </c>
      <c r="P151" s="14" t="str">
        <f>iferror(average(EBITDA_MARGIN!P34:P37),"")</f>
        <v/>
      </c>
      <c r="Q151" s="14" t="str">
        <f>iferror(average(EBITDA_MARGIN!Q34:Q37),"")</f>
        <v/>
      </c>
      <c r="R151" s="14"/>
      <c r="S151" s="14" t="str">
        <f>iferror(average(EBITDA_MARGIN!S34:S37),"")</f>
        <v/>
      </c>
      <c r="T151" s="14" t="str">
        <f>iferror(average(EBITDA_MARGIN!T34:T37),"")</f>
        <v/>
      </c>
      <c r="U151" s="14" t="str">
        <f>iferror(average(EBITDA_MARGIN!U34:U37),"")</f>
        <v/>
      </c>
      <c r="V151" s="14" t="str">
        <f>iferror(average(EBITDA_MARGIN!V34:V37),"")</f>
        <v/>
      </c>
      <c r="W151" s="14" t="str">
        <f>iferror(average(EBITDA_MARGIN!W34:W37),"")</f>
        <v/>
      </c>
      <c r="X151" s="25">
        <f>iferror(average(EBITDA_MARGIN!X34:X37),"")</f>
        <v>0.1592167267</v>
      </c>
      <c r="Y151" s="25" t="str">
        <f>iferror(average(EBITDA_MARGIN!Y34:Y37),"")</f>
        <v/>
      </c>
      <c r="Z151" s="25" t="str">
        <f>iferror(average(EBITDA_MARGIN!Z34:Z37),"")</f>
        <v/>
      </c>
      <c r="AA151" s="25" t="str">
        <f>iferror(average(EBITDA_MARGIN!AA34:AA37),"")</f>
        <v/>
      </c>
      <c r="AB151" s="25" t="str">
        <f>iferror(average(EBITDA_MARGIN!AB34:AB37),"")</f>
        <v/>
      </c>
      <c r="AC151" s="25" t="str">
        <f>iferror(average(EBITDA_MARGIN!AC34:AC37),"")</f>
        <v/>
      </c>
      <c r="AD151" s="12"/>
    </row>
    <row r="152">
      <c r="A152" s="15" t="s">
        <v>65</v>
      </c>
      <c r="B152" s="14" t="str">
        <f>iferror(average(EBITDA_MARGIN!B35:B38),"")</f>
        <v/>
      </c>
      <c r="C152" s="14">
        <f>iferror(average(EBITDA_MARGIN!C35:C38),"")</f>
        <v>0.06736334739</v>
      </c>
      <c r="D152" s="14">
        <f>iferror(average(EBITDA_MARGIN!D35:D38),"")</f>
        <v>0.270618626</v>
      </c>
      <c r="E152" s="14">
        <f>iferror(average(EBITDA_MARGIN!E35:E38),"")</f>
        <v>0.4617517945</v>
      </c>
      <c r="F152" s="14" t="str">
        <f>iferror(average(EBITDA_MARGIN!F35:F38),"")</f>
        <v/>
      </c>
      <c r="G152" s="14" t="str">
        <f>iferror(average(EBITDA_MARGIN!G35:G38),"")</f>
        <v/>
      </c>
      <c r="H152" s="14" t="str">
        <f>iferror(average(EBITDA_MARGIN!H35:H38),"")</f>
        <v/>
      </c>
      <c r="I152" s="14" t="str">
        <f>iferror(average(EBITDA_MARGIN!I35:I38),"")</f>
        <v/>
      </c>
      <c r="J152" s="14" t="str">
        <f>iferror(average(EBITDA_MARGIN!J35:J38),"")</f>
        <v/>
      </c>
      <c r="K152" s="14"/>
      <c r="L152" s="14" t="str">
        <f>iferror(average(EBITDA_MARGIN!L35:L38),"")</f>
        <v/>
      </c>
      <c r="M152" s="14" t="str">
        <f>iferror(average(EBITDA_MARGIN!M35:M38),"")</f>
        <v/>
      </c>
      <c r="N152" s="14" t="str">
        <f>iferror(average(EBITDA_MARGIN!N35:N38),"")</f>
        <v/>
      </c>
      <c r="O152" s="14">
        <f>iferror(average(EBITDA_MARGIN!O35:O38),"")</f>
        <v>0.3296537262</v>
      </c>
      <c r="P152" s="14" t="str">
        <f>iferror(average(EBITDA_MARGIN!P35:P38),"")</f>
        <v/>
      </c>
      <c r="Q152" s="14" t="str">
        <f>iferror(average(EBITDA_MARGIN!Q35:Q38),"")</f>
        <v/>
      </c>
      <c r="R152" s="14"/>
      <c r="S152" s="14" t="str">
        <f>iferror(average(EBITDA_MARGIN!S35:S38),"")</f>
        <v/>
      </c>
      <c r="T152" s="14" t="str">
        <f>iferror(average(EBITDA_MARGIN!T35:T38),"")</f>
        <v/>
      </c>
      <c r="U152" s="14" t="str">
        <f>iferror(average(EBITDA_MARGIN!U35:U38),"")</f>
        <v/>
      </c>
      <c r="V152" s="14" t="str">
        <f>iferror(average(EBITDA_MARGIN!V35:V38),"")</f>
        <v/>
      </c>
      <c r="W152" s="14" t="str">
        <f>iferror(average(EBITDA_MARGIN!W35:W38),"")</f>
        <v/>
      </c>
      <c r="X152" s="25">
        <f>iferror(average(EBITDA_MARGIN!X35:X38),"")</f>
        <v>0.156602432</v>
      </c>
      <c r="Y152" s="25" t="str">
        <f>iferror(average(EBITDA_MARGIN!Y35:Y38),"")</f>
        <v/>
      </c>
      <c r="Z152" s="25" t="str">
        <f>iferror(average(EBITDA_MARGIN!Z35:Z38),"")</f>
        <v/>
      </c>
      <c r="AA152" s="25" t="str">
        <f>iferror(average(EBITDA_MARGIN!AA35:AA38),"")</f>
        <v/>
      </c>
      <c r="AB152" s="25" t="str">
        <f>iferror(average(EBITDA_MARGIN!AB35:AB38),"")</f>
        <v/>
      </c>
      <c r="AC152" s="25" t="str">
        <f>iferror(average(EBITDA_MARGIN!AC35:AC38),"")</f>
        <v/>
      </c>
      <c r="AD152" s="12"/>
    </row>
    <row r="153">
      <c r="A153" s="15" t="s">
        <v>66</v>
      </c>
      <c r="B153" s="14" t="str">
        <f>iferror(average(EBITDA_MARGIN!B36:B39),"")</f>
        <v/>
      </c>
      <c r="C153" s="14">
        <f>iferror(average(EBITDA_MARGIN!C36:C39),"")</f>
        <v>0.0721191495</v>
      </c>
      <c r="D153" s="14">
        <f>iferror(average(EBITDA_MARGIN!D36:D39),"")</f>
        <v>0.2652938643</v>
      </c>
      <c r="E153" s="14">
        <f>iferror(average(EBITDA_MARGIN!E36:E39),"")</f>
        <v>0.4349951863</v>
      </c>
      <c r="F153" s="17"/>
      <c r="G153" s="17"/>
      <c r="H153" s="17"/>
      <c r="I153" s="17"/>
      <c r="J153" s="17"/>
      <c r="K153" s="17"/>
      <c r="L153" s="17"/>
      <c r="M153" s="17"/>
      <c r="N153" s="17"/>
      <c r="O153" s="14">
        <f>iferror(average(EBITDA_MARGIN!O36:O39),"")</f>
        <v>0.3318239476</v>
      </c>
      <c r="P153" s="17"/>
      <c r="Q153" s="17"/>
      <c r="R153" s="17"/>
      <c r="S153" s="17"/>
      <c r="T153" s="17"/>
      <c r="U153" s="14" t="str">
        <f>iferror(average(EBITDA_MARGIN!U36:U38),"")</f>
        <v/>
      </c>
      <c r="V153" s="14" t="str">
        <f>iferror(average(EBITDA_MARGIN!V36:V39),"")</f>
        <v/>
      </c>
      <c r="W153" s="14" t="str">
        <f>iferror(average(EBITDA_MARGIN!W36:W39),"")</f>
        <v/>
      </c>
      <c r="X153" s="25">
        <f>iferror(average(EBITDA_MARGIN!X36:X39),"")</f>
        <v>0.1539881372</v>
      </c>
      <c r="Y153" s="25" t="str">
        <f>iferror(average(EBITDA_MARGIN!Y36:Y39),"")</f>
        <v/>
      </c>
      <c r="Z153" s="25" t="str">
        <f>iferror(average(EBITDA_MARGIN!Z36:Z39),"")</f>
        <v/>
      </c>
      <c r="AA153" s="25" t="str">
        <f>iferror(average(EBITDA_MARGIN!AA36:AA39),"")</f>
        <v/>
      </c>
      <c r="AB153" s="25" t="str">
        <f>iferror(average(EBITDA_MARGIN!AB36:AB39),"")</f>
        <v/>
      </c>
      <c r="AC153" s="25" t="str">
        <f>iferror(average(EBITDA_MARGIN!AC36:AC39),"")</f>
        <v/>
      </c>
      <c r="AD153" s="12"/>
    </row>
    <row r="154">
      <c r="A154" s="15" t="s">
        <v>67</v>
      </c>
      <c r="B154" s="14" t="str">
        <f>iferror(average(EBITDA_MARGIN!B37:B40),"")</f>
        <v/>
      </c>
      <c r="C154" s="14">
        <f>iferror(average(EBITDA_MARGIN!C37:C40),"")</f>
        <v>0.07687495161</v>
      </c>
      <c r="D154" s="14">
        <f>iferror(average(EBITDA_MARGIN!D37:D40),"")</f>
        <v>0.2599691026</v>
      </c>
      <c r="E154" s="14">
        <f>iferror(average(EBITDA_MARGIN!E37:E40),"")</f>
        <v>0.408238578</v>
      </c>
      <c r="F154" s="14" t="str">
        <f>iferror(average(EBITDA_MARGIN!F37:F40),"")</f>
        <v/>
      </c>
      <c r="G154" s="14" t="str">
        <f>iferror(average(EBITDA_MARGIN!G37:G40),"")</f>
        <v/>
      </c>
      <c r="H154" s="14" t="str">
        <f>iferror(average(EBITDA_MARGIN!H37:H40),"")</f>
        <v/>
      </c>
      <c r="I154" s="14" t="str">
        <f>iferror(average(EBITDA_MARGIN!I37:I40),"")</f>
        <v/>
      </c>
      <c r="J154" s="14" t="str">
        <f>iferror(average(EBITDA_MARGIN!J37:J40),"")</f>
        <v/>
      </c>
      <c r="K154" s="14"/>
      <c r="L154" s="14" t="str">
        <f>iferror(average(EBITDA_MARGIN!L37:L40),"")</f>
        <v/>
      </c>
      <c r="M154" s="14" t="str">
        <f>iferror(average(EBITDA_MARGIN!M37:M40),"")</f>
        <v/>
      </c>
      <c r="N154" s="14" t="str">
        <f>iferror(average(EBITDA_MARGIN!N37:N40),"")</f>
        <v/>
      </c>
      <c r="O154" s="14">
        <f>iferror(average(EBITDA_MARGIN!O37:O40),"")</f>
        <v>0.3339941691</v>
      </c>
      <c r="P154" s="14" t="str">
        <f>iferror(average(EBITDA_MARGIN!P37:P40),"")</f>
        <v/>
      </c>
      <c r="Q154" s="14" t="str">
        <f>iferror(average(EBITDA_MARGIN!Q37:Q40),"")</f>
        <v/>
      </c>
      <c r="R154" s="14"/>
      <c r="S154" s="14" t="str">
        <f>iferror(average(EBITDA_MARGIN!S37:S40),"")</f>
        <v/>
      </c>
      <c r="T154" s="14" t="str">
        <f>iferror(average(EBITDA_MARGIN!T37:T40),"")</f>
        <v/>
      </c>
      <c r="U154" s="14" t="str">
        <f>iferror(average(EBITDA_MARGIN!U37:U40),"")</f>
        <v/>
      </c>
      <c r="V154" s="14" t="str">
        <f>iferror(average(EBITDA_MARGIN!V37:V40),"")</f>
        <v/>
      </c>
      <c r="W154" s="14" t="str">
        <f>iferror(average(EBITDA_MARGIN!W37:W40),"")</f>
        <v/>
      </c>
      <c r="X154" s="25">
        <f>iferror(average(EBITDA_MARGIN!X37:X40),"")</f>
        <v>0.1513738425</v>
      </c>
      <c r="Y154" s="25" t="str">
        <f>iferror(average(EBITDA_MARGIN!Y37:Y40),"")</f>
        <v/>
      </c>
      <c r="Z154" s="25" t="str">
        <f>iferror(average(EBITDA_MARGIN!Z37:Z40),"")</f>
        <v/>
      </c>
      <c r="AA154" s="25" t="str">
        <f>iferror(average(EBITDA_MARGIN!AA37:AA40),"")</f>
        <v/>
      </c>
      <c r="AB154" s="25" t="str">
        <f>iferror(average(EBITDA_MARGIN!AB37:AB40),"")</f>
        <v/>
      </c>
      <c r="AC154" s="25" t="str">
        <f>iferror(average(EBITDA_MARGIN!AC37:AC40),"")</f>
        <v/>
      </c>
      <c r="AD154" s="12"/>
    </row>
    <row r="155">
      <c r="A155" s="15" t="s">
        <v>68</v>
      </c>
      <c r="B155" s="14" t="str">
        <f>iferror(average(EBITDA_MARGIN!B38:B41),"")</f>
        <v/>
      </c>
      <c r="C155" s="14">
        <f>iferror(average(EBITDA_MARGIN!C38:C41),"")</f>
        <v>0.08163075371</v>
      </c>
      <c r="D155" s="14">
        <f>iferror(average(EBITDA_MARGIN!D38:D41),"")</f>
        <v>0.2546443409</v>
      </c>
      <c r="E155" s="14">
        <f>iferror(average(EBITDA_MARGIN!E38:E41),"")</f>
        <v>0.3814819697</v>
      </c>
      <c r="F155" s="14" t="str">
        <f>iferror(average(EBITDA_MARGIN!F38:F41),"")</f>
        <v/>
      </c>
      <c r="G155" s="14" t="str">
        <f>iferror(average(EBITDA_MARGIN!G38:G41),"")</f>
        <v/>
      </c>
      <c r="H155" s="14" t="str">
        <f>iferror(average(EBITDA_MARGIN!H38:H41),"")</f>
        <v/>
      </c>
      <c r="I155" s="14" t="str">
        <f>iferror(average(EBITDA_MARGIN!I38:I41),"")</f>
        <v/>
      </c>
      <c r="J155" s="14" t="str">
        <f>iferror(average(EBITDA_MARGIN!J38:J41),"")</f>
        <v/>
      </c>
      <c r="K155" s="14"/>
      <c r="L155" s="14" t="str">
        <f>iferror(average(EBITDA_MARGIN!L38:L41),"")</f>
        <v/>
      </c>
      <c r="M155" s="14" t="str">
        <f>iferror(average(EBITDA_MARGIN!M38:M41),"")</f>
        <v/>
      </c>
      <c r="N155" s="14" t="str">
        <f>iferror(average(EBITDA_MARGIN!N38:N41),"")</f>
        <v/>
      </c>
      <c r="O155" s="14">
        <f>iferror(average(EBITDA_MARGIN!O38:O41),"")</f>
        <v>0.3174886025</v>
      </c>
      <c r="P155" s="14" t="str">
        <f>iferror(average(EBITDA_MARGIN!P38:P41),"")</f>
        <v/>
      </c>
      <c r="Q155" s="14" t="str">
        <f>iferror(average(EBITDA_MARGIN!Q38:Q41),"")</f>
        <v/>
      </c>
      <c r="R155" s="14"/>
      <c r="S155" s="14" t="str">
        <f>iferror(average(EBITDA_MARGIN!S38:S41),"")</f>
        <v/>
      </c>
      <c r="T155" s="14" t="str">
        <f>iferror(average(EBITDA_MARGIN!T38:T41),"")</f>
        <v/>
      </c>
      <c r="U155" s="14" t="str">
        <f>iferror(average(EBITDA_MARGIN!U38:U41),"")</f>
        <v/>
      </c>
      <c r="V155" s="14" t="str">
        <f>iferror(average(EBITDA_MARGIN!V38:V41),"")</f>
        <v/>
      </c>
      <c r="W155" s="14" t="str">
        <f>iferror(average(EBITDA_MARGIN!W38:W41),"")</f>
        <v/>
      </c>
      <c r="X155" s="25">
        <f>iferror(average(EBITDA_MARGIN!X38:X41),"")</f>
        <v>0.1420610984</v>
      </c>
      <c r="Y155" s="25" t="str">
        <f>iferror(average(EBITDA_MARGIN!Y38:Y41),"")</f>
        <v/>
      </c>
      <c r="Z155" s="25" t="str">
        <f>iferror(average(EBITDA_MARGIN!Z38:Z41),"")</f>
        <v/>
      </c>
      <c r="AA155" s="25" t="str">
        <f>iferror(average(EBITDA_MARGIN!AA38:AA41),"")</f>
        <v/>
      </c>
      <c r="AB155" s="25" t="str">
        <f>iferror(average(EBITDA_MARGIN!AB38:AB41),"")</f>
        <v/>
      </c>
      <c r="AC155" s="25" t="str">
        <f>iferror(average(EBITDA_MARGIN!AC38:AC41),"")</f>
        <v/>
      </c>
      <c r="AD155" s="12"/>
    </row>
    <row r="156">
      <c r="A156" s="15" t="s">
        <v>69</v>
      </c>
      <c r="B156" s="14" t="str">
        <f>iferror(average(EBITDA_MARGIN!B39:B42),"")</f>
        <v/>
      </c>
      <c r="C156" s="14">
        <f>iferror(average(EBITDA_MARGIN!C39:C42),"")</f>
        <v>0.08638655582</v>
      </c>
      <c r="D156" s="14">
        <f>iferror(average(EBITDA_MARGIN!D39:D42),"")</f>
        <v>0.2493195792</v>
      </c>
      <c r="E156" s="14">
        <f>iferror(average(EBITDA_MARGIN!E39:E42),"")</f>
        <v>0.3547253615</v>
      </c>
      <c r="F156" s="14" t="str">
        <f>iferror(average(EBITDA_MARGIN!F39:F42),"")</f>
        <v/>
      </c>
      <c r="G156" s="14" t="str">
        <f>iferror(average(EBITDA_MARGIN!G39:G42),"")</f>
        <v/>
      </c>
      <c r="H156" s="14" t="str">
        <f>iferror(average(EBITDA_MARGIN!H39:H42),"")</f>
        <v/>
      </c>
      <c r="I156" s="14" t="str">
        <f>iferror(average(EBITDA_MARGIN!I39:I42),"")</f>
        <v/>
      </c>
      <c r="J156" s="14" t="str">
        <f>iferror(average(EBITDA_MARGIN!J39:J42),"")</f>
        <v/>
      </c>
      <c r="K156" s="14"/>
      <c r="L156" s="14" t="str">
        <f>iferror(average(EBITDA_MARGIN!L39:L42),"")</f>
        <v/>
      </c>
      <c r="M156" s="14" t="str">
        <f>iferror(average(EBITDA_MARGIN!M39:M42),"")</f>
        <v/>
      </c>
      <c r="N156" s="14" t="str">
        <f>iferror(average(EBITDA_MARGIN!N39:N42),"")</f>
        <v/>
      </c>
      <c r="O156" s="14">
        <f>iferror(average(EBITDA_MARGIN!O39:O42),"")</f>
        <v>0.3009830358</v>
      </c>
      <c r="P156" s="14" t="str">
        <f>iferror(average(EBITDA_MARGIN!P39:P42),"")</f>
        <v/>
      </c>
      <c r="Q156" s="14" t="str">
        <f>iferror(average(EBITDA_MARGIN!Q39:Q42),"")</f>
        <v/>
      </c>
      <c r="R156" s="14"/>
      <c r="S156" s="14" t="str">
        <f>iferror(average(EBITDA_MARGIN!S39:S42),"")</f>
        <v/>
      </c>
      <c r="T156" s="14" t="str">
        <f>iferror(average(EBITDA_MARGIN!T39:T42),"")</f>
        <v/>
      </c>
      <c r="U156" s="14" t="str">
        <f>iferror(average(EBITDA_MARGIN!U37:U42),"")</f>
        <v/>
      </c>
      <c r="V156" s="14" t="str">
        <f>iferror(average(EBITDA_MARGIN!V39:V42),"")</f>
        <v/>
      </c>
      <c r="W156" s="14" t="str">
        <f>iferror(average(EBITDA_MARGIN!W39:W42),"")</f>
        <v/>
      </c>
      <c r="X156" s="25">
        <f>iferror(average(EBITDA_MARGIN!X39:X42),"")</f>
        <v>0.1327483544</v>
      </c>
      <c r="Y156" s="25" t="str">
        <f>iferror(average(EBITDA_MARGIN!Y39:Y42),"")</f>
        <v/>
      </c>
      <c r="Z156" s="25" t="str">
        <f>iferror(average(EBITDA_MARGIN!Z39:Z42),"")</f>
        <v/>
      </c>
      <c r="AA156" s="25" t="str">
        <f>iferror(average(EBITDA_MARGIN!AA39:AA42),"")</f>
        <v/>
      </c>
      <c r="AB156" s="25" t="str">
        <f>iferror(average(EBITDA_MARGIN!AB39:AB42),"")</f>
        <v/>
      </c>
      <c r="AC156" s="25" t="str">
        <f>iferror(average(EBITDA_MARGIN!AC39:AC42),"")</f>
        <v/>
      </c>
      <c r="AD156" s="12"/>
    </row>
    <row r="157">
      <c r="A157" s="15" t="s">
        <v>70</v>
      </c>
      <c r="B157" s="14" t="str">
        <f>iferror(average(EBITDA_MARGIN!B40:B43),"")</f>
        <v/>
      </c>
      <c r="C157" s="14">
        <f>iferror(average(EBITDA_MARGIN!C40:C43),"")</f>
        <v>0.1057264016</v>
      </c>
      <c r="D157" s="14">
        <f>iferror(average(EBITDA_MARGIN!D40:D43),"")</f>
        <v>0.2494738327</v>
      </c>
      <c r="E157" s="14">
        <f>iferror(average(EBITDA_MARGIN!E40:E43),"")</f>
        <v>0.3604011171</v>
      </c>
      <c r="F157" s="14" t="str">
        <f>iferror(average(EBITDA_MARGIN!F40:F43),"")</f>
        <v/>
      </c>
      <c r="G157" s="14" t="str">
        <f>iferror(average(EBITDA_MARGIN!G40:G43),"")</f>
        <v/>
      </c>
      <c r="H157" s="14" t="str">
        <f>iferror(average(EBITDA_MARGIN!H40:H43),"")</f>
        <v/>
      </c>
      <c r="I157" s="14" t="str">
        <f>iferror(average(EBITDA_MARGIN!I40:I43),"")</f>
        <v/>
      </c>
      <c r="J157" s="14" t="str">
        <f>iferror(average(EBITDA_MARGIN!J40:J43),"")</f>
        <v/>
      </c>
      <c r="K157" s="14"/>
      <c r="L157" s="14" t="str">
        <f>iferror(average(EBITDA_MARGIN!L40:L43),"")</f>
        <v/>
      </c>
      <c r="M157" s="14" t="str">
        <f>iferror(average(EBITDA_MARGIN!M40:M43),"")</f>
        <v/>
      </c>
      <c r="N157" s="14" t="str">
        <f>iferror(average(EBITDA_MARGIN!N40:N43),"")</f>
        <v/>
      </c>
      <c r="O157" s="14">
        <f>iferror(average(EBITDA_MARGIN!O40:O43),"")</f>
        <v>0.2844774692</v>
      </c>
      <c r="P157" s="14" t="str">
        <f>iferror(average(EBITDA_MARGIN!P40:P43),"")</f>
        <v/>
      </c>
      <c r="Q157" s="14" t="str">
        <f>iferror(average(EBITDA_MARGIN!Q40:Q43),"")</f>
        <v/>
      </c>
      <c r="R157" s="14"/>
      <c r="S157" s="14" t="str">
        <f>iferror(average(EBITDA_MARGIN!S40:S43),"")</f>
        <v/>
      </c>
      <c r="T157" s="14" t="str">
        <f>iferror(average(EBITDA_MARGIN!T40:T43),"")</f>
        <v/>
      </c>
      <c r="U157" s="14" t="str">
        <f>iferror(average(EBITDA_MARGIN!U40:U43),"")</f>
        <v/>
      </c>
      <c r="V157" s="14" t="str">
        <f>iferror(average(EBITDA_MARGIN!V40:V43),"")</f>
        <v/>
      </c>
      <c r="W157" s="14" t="str">
        <f>iferror(average(EBITDA_MARGIN!W40:W43),"")</f>
        <v/>
      </c>
      <c r="X157" s="25">
        <f>iferror(average(EBITDA_MARGIN!X40:X43),"")</f>
        <v>0.1234356104</v>
      </c>
      <c r="Y157" s="25" t="str">
        <f>iferror(average(EBITDA_MARGIN!Y40:Y43),"")</f>
        <v/>
      </c>
      <c r="Z157" s="25" t="str">
        <f>iferror(average(EBITDA_MARGIN!Z40:Z43),"")</f>
        <v/>
      </c>
      <c r="AA157" s="25" t="str">
        <f>iferror(average(EBITDA_MARGIN!AA40:AA43),"")</f>
        <v/>
      </c>
      <c r="AB157" s="25" t="str">
        <f>iferror(average(EBITDA_MARGIN!AB40:AB43),"")</f>
        <v/>
      </c>
      <c r="AC157" s="25" t="str">
        <f>iferror(average(EBITDA_MARGIN!AC40:AC43),"")</f>
        <v/>
      </c>
      <c r="AD157" s="12"/>
    </row>
    <row r="158">
      <c r="A158" s="15" t="s">
        <v>71</v>
      </c>
      <c r="B158" s="14" t="str">
        <f>iferror(average(EBITDA_MARGIN!B41:B44),"")</f>
        <v/>
      </c>
      <c r="C158" s="14">
        <f>iferror(average(EBITDA_MARGIN!C41:C44),"")</f>
        <v>0.1250662474</v>
      </c>
      <c r="D158" s="14">
        <f>iferror(average(EBITDA_MARGIN!D41:D44),"")</f>
        <v>0.2496280862</v>
      </c>
      <c r="E158" s="14">
        <f>iferror(average(EBITDA_MARGIN!E41:E44),"")</f>
        <v>0.3660768726</v>
      </c>
      <c r="F158" s="14" t="str">
        <f>iferror(average(EBITDA_MARGIN!F41:F44),"")</f>
        <v/>
      </c>
      <c r="G158" s="14" t="str">
        <f>iferror(average(EBITDA_MARGIN!G41:G44),"")</f>
        <v/>
      </c>
      <c r="H158" s="14" t="str">
        <f>iferror(average(EBITDA_MARGIN!H41:H44),"")</f>
        <v/>
      </c>
      <c r="I158" s="14" t="str">
        <f>iferror(average(EBITDA_MARGIN!I41:I44),"")</f>
        <v/>
      </c>
      <c r="J158" s="14" t="str">
        <f>iferror(average(EBITDA_MARGIN!J41:J44),"")</f>
        <v/>
      </c>
      <c r="K158" s="14"/>
      <c r="L158" s="14" t="str">
        <f>iferror(average(EBITDA_MARGIN!L41:L44),"")</f>
        <v/>
      </c>
      <c r="M158" s="14" t="str">
        <f>iferror(average(EBITDA_MARGIN!M41:M44),"")</f>
        <v/>
      </c>
      <c r="N158" s="14" t="str">
        <f>iferror(average(EBITDA_MARGIN!N41:N44),"")</f>
        <v/>
      </c>
      <c r="O158" s="14">
        <f>iferror(average(EBITDA_MARGIN!O41:O44),"")</f>
        <v>0.2679719026</v>
      </c>
      <c r="P158" s="14" t="str">
        <f>iferror(average(EBITDA_MARGIN!P41:P44),"")</f>
        <v/>
      </c>
      <c r="Q158" s="14" t="str">
        <f>iferror(average(EBITDA_MARGIN!Q41:Q44),"")</f>
        <v/>
      </c>
      <c r="R158" s="14"/>
      <c r="S158" s="14" t="str">
        <f>iferror(average(EBITDA_MARGIN!S41:S44),"")</f>
        <v/>
      </c>
      <c r="T158" s="14" t="str">
        <f>iferror(average(EBITDA_MARGIN!T41:T44),"")</f>
        <v/>
      </c>
      <c r="U158" s="14" t="str">
        <f>iferror(average(EBITDA_MARGIN!U41:U44),"")</f>
        <v/>
      </c>
      <c r="V158" s="14">
        <f>iferror(average(EBITDA_MARGIN!V41:V44),"")</f>
        <v>-0.04772991851</v>
      </c>
      <c r="W158" s="14" t="str">
        <f>iferror(average(EBITDA_MARGIN!W41:W44),"")</f>
        <v/>
      </c>
      <c r="X158" s="25">
        <f>iferror(average(EBITDA_MARGIN!X41:X44),"")</f>
        <v>0.1141228663</v>
      </c>
      <c r="Y158" s="25" t="str">
        <f>iferror(average(EBITDA_MARGIN!Y41:Y44),"")</f>
        <v/>
      </c>
      <c r="Z158" s="25" t="str">
        <f>iferror(average(EBITDA_MARGIN!Z41:Z44),"")</f>
        <v/>
      </c>
      <c r="AA158" s="25" t="str">
        <f>iferror(average(EBITDA_MARGIN!AA41:AA44),"")</f>
        <v/>
      </c>
      <c r="AB158" s="25" t="str">
        <f>iferror(average(EBITDA_MARGIN!AB41:AB44),"")</f>
        <v/>
      </c>
      <c r="AC158" s="25" t="str">
        <f>iferror(average(EBITDA_MARGIN!AC41:AC44),"")</f>
        <v/>
      </c>
      <c r="AD158" s="12"/>
    </row>
    <row r="159">
      <c r="A159" s="15" t="s">
        <v>72</v>
      </c>
      <c r="B159" s="14" t="str">
        <f>iferror(average(EBITDA_MARGIN!B42:B45),"")</f>
        <v/>
      </c>
      <c r="C159" s="14">
        <f>iferror(average(EBITDA_MARGIN!C42:C45),"")</f>
        <v>0.1444060931</v>
      </c>
      <c r="D159" s="14">
        <f>iferror(average(EBITDA_MARGIN!D42:D45),"")</f>
        <v>0.2497823398</v>
      </c>
      <c r="E159" s="14">
        <f>iferror(average(EBITDA_MARGIN!E42:E45),"")</f>
        <v>0.3717526282</v>
      </c>
      <c r="F159" s="14" t="str">
        <f>iferror(average(EBITDA_MARGIN!F42:F45),"")</f>
        <v/>
      </c>
      <c r="G159" s="14" t="str">
        <f>iferror(average(EBITDA_MARGIN!G42:G45),"")</f>
        <v/>
      </c>
      <c r="H159" s="14" t="str">
        <f>iferror(average(EBITDA_MARGIN!H42:H45),"")</f>
        <v/>
      </c>
      <c r="I159" s="14" t="str">
        <f>iferror(average(EBITDA_MARGIN!I42:I45),"")</f>
        <v/>
      </c>
      <c r="J159" s="14" t="str">
        <f>iferror(average(EBITDA_MARGIN!J42:J45),"")</f>
        <v/>
      </c>
      <c r="K159" s="14"/>
      <c r="L159" s="14" t="str">
        <f>iferror(average(EBITDA_MARGIN!L42:L45),"")</f>
        <v/>
      </c>
      <c r="M159" s="14" t="str">
        <f>iferror(average(EBITDA_MARGIN!M42:M45),"")</f>
        <v/>
      </c>
      <c r="N159" s="14" t="str">
        <f>iferror(average(EBITDA_MARGIN!N42:N45),"")</f>
        <v/>
      </c>
      <c r="O159" s="14">
        <f>iferror(average(EBITDA_MARGIN!O42:O45),"")</f>
        <v>0.2889492502</v>
      </c>
      <c r="P159" s="14" t="str">
        <f>iferror(average(EBITDA_MARGIN!P42:P45),"")</f>
        <v/>
      </c>
      <c r="Q159" s="14" t="str">
        <f>iferror(average(EBITDA_MARGIN!Q42:Q45),"")</f>
        <v/>
      </c>
      <c r="R159" s="14"/>
      <c r="S159" s="14" t="str">
        <f>iferror(average(EBITDA_MARGIN!S42:S45),"")</f>
        <v/>
      </c>
      <c r="T159" s="14" t="str">
        <f>iferror(average(EBITDA_MARGIN!T42:T45),"")</f>
        <v/>
      </c>
      <c r="U159" s="14" t="str">
        <f>iferror(average(EBITDA_MARGIN!U42:U45),"")</f>
        <v/>
      </c>
      <c r="V159" s="14">
        <f>iferror(average(EBITDA_MARGIN!V42:V45),"")</f>
        <v>-0.04772991851</v>
      </c>
      <c r="W159" s="14" t="str">
        <f>iferror(average(EBITDA_MARGIN!W42:W45),"")</f>
        <v/>
      </c>
      <c r="X159" s="25">
        <f>iferror(average(EBITDA_MARGIN!X42:X45),"")</f>
        <v>0.1146192897</v>
      </c>
      <c r="Y159" s="25" t="str">
        <f>iferror(average(EBITDA_MARGIN!Y42:Y45),"")</f>
        <v/>
      </c>
      <c r="Z159" s="25" t="str">
        <f>iferror(average(EBITDA_MARGIN!Z42:Z45),"")</f>
        <v/>
      </c>
      <c r="AA159" s="25" t="str">
        <f>iferror(average(EBITDA_MARGIN!AA42:AA45),"")</f>
        <v/>
      </c>
      <c r="AB159" s="25" t="str">
        <f>iferror(average(EBITDA_MARGIN!AB42:AB45),"")</f>
        <v/>
      </c>
      <c r="AC159" s="25" t="str">
        <f>iferror(average(EBITDA_MARGIN!AC42:AC45),"")</f>
        <v/>
      </c>
      <c r="AD159" s="12"/>
    </row>
    <row r="160">
      <c r="A160" s="15" t="s">
        <v>73</v>
      </c>
      <c r="B160" s="14" t="str">
        <f>iferror(average(EBITDA_MARGIN!B43:B46),"")</f>
        <v/>
      </c>
      <c r="C160" s="14">
        <f>iferror(average(EBITDA_MARGIN!C43:C46),"")</f>
        <v>0.1637459389</v>
      </c>
      <c r="D160" s="14">
        <f>iferror(average(EBITDA_MARGIN!D43:D46),"")</f>
        <v>0.2499365933</v>
      </c>
      <c r="E160" s="14">
        <f>iferror(average(EBITDA_MARGIN!E43:E46),"")</f>
        <v>0.3774283838</v>
      </c>
      <c r="F160" s="14" t="str">
        <f>iferror(average(EBITDA_MARGIN!F43:F46),"")</f>
        <v/>
      </c>
      <c r="G160" s="14" t="str">
        <f>iferror(average(EBITDA_MARGIN!G43:G46),"")</f>
        <v/>
      </c>
      <c r="H160" s="14" t="str">
        <f>iferror(average(EBITDA_MARGIN!H43:H46),"")</f>
        <v/>
      </c>
      <c r="I160" s="14" t="str">
        <f>iferror(average(EBITDA_MARGIN!I43:I46),"")</f>
        <v/>
      </c>
      <c r="J160" s="14" t="str">
        <f>iferror(average(EBITDA_MARGIN!J43:J46),"")</f>
        <v/>
      </c>
      <c r="K160" s="14"/>
      <c r="L160" s="14" t="str">
        <f>iferror(average(EBITDA_MARGIN!L43:L46),"")</f>
        <v/>
      </c>
      <c r="M160" s="14" t="str">
        <f>iferror(average(EBITDA_MARGIN!M43:M46),"")</f>
        <v/>
      </c>
      <c r="N160" s="14" t="str">
        <f>iferror(average(EBITDA_MARGIN!N43:N46),"")</f>
        <v/>
      </c>
      <c r="O160" s="14">
        <f>iferror(average(EBITDA_MARGIN!O43:O46),"")</f>
        <v>0.3099265978</v>
      </c>
      <c r="P160" s="14" t="str">
        <f>iferror(average(EBITDA_MARGIN!P43:P46),"")</f>
        <v/>
      </c>
      <c r="Q160" s="14" t="str">
        <f>iferror(average(EBITDA_MARGIN!Q43:Q46),"")</f>
        <v/>
      </c>
      <c r="R160" s="14"/>
      <c r="S160" s="14" t="str">
        <f>iferror(average(EBITDA_MARGIN!S43:S46),"")</f>
        <v/>
      </c>
      <c r="T160" s="14" t="str">
        <f>iferror(average(EBITDA_MARGIN!T43:T46),"")</f>
        <v/>
      </c>
      <c r="U160" s="14" t="str">
        <f>iferror(average(EBITDA_MARGIN!U43:U46),"")</f>
        <v/>
      </c>
      <c r="V160" s="14">
        <f>iferror(average(EBITDA_MARGIN!V43:V46),"")</f>
        <v>-0.04772991851</v>
      </c>
      <c r="W160" s="14" t="str">
        <f>iferror(average(EBITDA_MARGIN!W43:W46),"")</f>
        <v/>
      </c>
      <c r="X160" s="25">
        <f>iferror(average(EBITDA_MARGIN!X43:X46),"")</f>
        <v>0.115115713</v>
      </c>
      <c r="Y160" s="25" t="str">
        <f>iferror(average(EBITDA_MARGIN!Y43:Y46),"")</f>
        <v/>
      </c>
      <c r="Z160" s="25" t="str">
        <f>iferror(average(EBITDA_MARGIN!Z43:Z46),"")</f>
        <v/>
      </c>
      <c r="AA160" s="25" t="str">
        <f>iferror(average(EBITDA_MARGIN!AA43:AA46),"")</f>
        <v/>
      </c>
      <c r="AB160" s="25" t="str">
        <f>iferror(average(EBITDA_MARGIN!AB43:AB46),"")</f>
        <v/>
      </c>
      <c r="AC160" s="25" t="str">
        <f>iferror(average(EBITDA_MARGIN!AC43:AC46),"")</f>
        <v/>
      </c>
      <c r="AD160" s="12"/>
    </row>
    <row r="161">
      <c r="A161" s="15" t="s">
        <v>74</v>
      </c>
      <c r="B161" s="14" t="str">
        <f>iferror(average(EBITDA_MARGIN!B44:B47),"")</f>
        <v/>
      </c>
      <c r="C161" s="14">
        <f>iferror(average(EBITDA_MARGIN!C44:C47),"")</f>
        <v>0.1669177072</v>
      </c>
      <c r="D161" s="14">
        <f>iferror(average(EBITDA_MARGIN!D44:D47),"")</f>
        <v>0.2481674469</v>
      </c>
      <c r="E161" s="14">
        <f>iferror(average(EBITDA_MARGIN!E44:E47),"")</f>
        <v>0.3732424028</v>
      </c>
      <c r="F161" s="14" t="str">
        <f>iferror(average(EBITDA_MARGIN!F44:F47),"")</f>
        <v/>
      </c>
      <c r="G161" s="14" t="str">
        <f>iferror(average(EBITDA_MARGIN!G44:G47),"")</f>
        <v/>
      </c>
      <c r="H161" s="14" t="str">
        <f>iferror(average(EBITDA_MARGIN!H44:H47),"")</f>
        <v/>
      </c>
      <c r="I161" s="14" t="str">
        <f>iferror(average(EBITDA_MARGIN!I44:I47),"")</f>
        <v/>
      </c>
      <c r="J161" s="14" t="str">
        <f>iferror(average(EBITDA_MARGIN!J44:J47),"")</f>
        <v/>
      </c>
      <c r="K161" s="14"/>
      <c r="L161" s="14" t="str">
        <f>iferror(average(EBITDA_MARGIN!L44:L47),"")</f>
        <v/>
      </c>
      <c r="M161" s="14" t="str">
        <f>iferror(average(EBITDA_MARGIN!M44:M47),"")</f>
        <v/>
      </c>
      <c r="N161" s="14" t="str">
        <f>iferror(average(EBITDA_MARGIN!N44:N47),"")</f>
        <v/>
      </c>
      <c r="O161" s="14">
        <f>iferror(average(EBITDA_MARGIN!O44:O47),"")</f>
        <v>0.3309039454</v>
      </c>
      <c r="P161" s="14" t="str">
        <f>iferror(average(EBITDA_MARGIN!P44:P47),"")</f>
        <v/>
      </c>
      <c r="Q161" s="14" t="str">
        <f>iferror(average(EBITDA_MARGIN!Q44:Q47),"")</f>
        <v/>
      </c>
      <c r="R161" s="14"/>
      <c r="S161" s="14" t="str">
        <f>iferror(average(EBITDA_MARGIN!S44:S47),"")</f>
        <v/>
      </c>
      <c r="T161" s="14" t="str">
        <f>iferror(average(EBITDA_MARGIN!T44:T47),"")</f>
        <v/>
      </c>
      <c r="U161" s="14" t="str">
        <f>iferror(average(EBITDA_MARGIN!U44:U47),"")</f>
        <v/>
      </c>
      <c r="V161" s="14">
        <f>iferror(average(EBITDA_MARGIN!V44:V47),"")</f>
        <v>-0.1222916918</v>
      </c>
      <c r="W161" s="14" t="str">
        <f>iferror(average(EBITDA_MARGIN!W44:W47),"")</f>
        <v/>
      </c>
      <c r="X161" s="25">
        <f>iferror(average(EBITDA_MARGIN!X44:X47),"")</f>
        <v>0.1156121363</v>
      </c>
      <c r="Y161" s="25" t="str">
        <f>iferror(average(EBITDA_MARGIN!Y44:Y47),"")</f>
        <v/>
      </c>
      <c r="Z161" s="25" t="str">
        <f>iferror(average(EBITDA_MARGIN!Z44:Z47),"")</f>
        <v/>
      </c>
      <c r="AA161" s="25" t="str">
        <f>iferror(average(EBITDA_MARGIN!AA44:AA47),"")</f>
        <v/>
      </c>
      <c r="AB161" s="25" t="str">
        <f>iferror(average(EBITDA_MARGIN!AB44:AB47),"")</f>
        <v/>
      </c>
      <c r="AC161" s="25" t="str">
        <f>iferror(average(EBITDA_MARGIN!AC44:AC47),"")</f>
        <v/>
      </c>
      <c r="AD161" s="12"/>
    </row>
    <row r="162">
      <c r="A162" s="15" t="s">
        <v>75</v>
      </c>
      <c r="B162" s="14" t="str">
        <f>iferror(average(EBITDA_MARGIN!B45:B48),"")</f>
        <v/>
      </c>
      <c r="C162" s="14">
        <f>iferror(average(EBITDA_MARGIN!C45:C48),"")</f>
        <v>0.1700894756</v>
      </c>
      <c r="D162" s="14">
        <f>iferror(average(EBITDA_MARGIN!D45:D48),"")</f>
        <v>0.2463983005</v>
      </c>
      <c r="E162" s="14">
        <f>iferror(average(EBITDA_MARGIN!E45:E48),"")</f>
        <v>0.3690564219</v>
      </c>
      <c r="F162" s="14" t="str">
        <f>iferror(average(EBITDA_MARGIN!F45:F48),"")</f>
        <v/>
      </c>
      <c r="G162" s="14" t="str">
        <f>iferror(average(EBITDA_MARGIN!G45:G48),"")</f>
        <v/>
      </c>
      <c r="H162" s="14" t="str">
        <f>iferror(average(EBITDA_MARGIN!H45:H48),"")</f>
        <v/>
      </c>
      <c r="I162" s="14" t="str">
        <f>iferror(average(EBITDA_MARGIN!I45:I48),"")</f>
        <v/>
      </c>
      <c r="J162" s="14"/>
      <c r="K162" s="14"/>
      <c r="L162" s="14" t="str">
        <f>iferror(average(EBITDA_MARGIN!L45:L48),"")</f>
        <v/>
      </c>
      <c r="M162" s="14" t="str">
        <f>iferror(average(EBITDA_MARGIN!M45:M48),"")</f>
        <v/>
      </c>
      <c r="N162" s="14" t="str">
        <f>iferror(average(EBITDA_MARGIN!N45:N48),"")</f>
        <v/>
      </c>
      <c r="O162" s="14">
        <f>iferror(average(EBITDA_MARGIN!O45:O48),"")</f>
        <v>0.3518812931</v>
      </c>
      <c r="P162" s="14" t="str">
        <f>iferror(average(EBITDA_MARGIN!P45:P48),"")</f>
        <v/>
      </c>
      <c r="Q162" s="14" t="str">
        <f>iferror(average(EBITDA_MARGIN!Q45:Q48),"")</f>
        <v/>
      </c>
      <c r="R162" s="14"/>
      <c r="S162" s="14" t="str">
        <f>iferror(average(EBITDA_MARGIN!S45:S48),"")</f>
        <v/>
      </c>
      <c r="T162" s="14" t="str">
        <f>iferror(average(EBITDA_MARGIN!T45:T48),"")</f>
        <v/>
      </c>
      <c r="U162" s="14" t="str">
        <f>iferror(average(EBITDA_MARGIN!U45:U48),"")</f>
        <v/>
      </c>
      <c r="V162" s="14">
        <f>iferror(average(EBITDA_MARGIN!V45:V48),"")</f>
        <v>-0.196853465</v>
      </c>
      <c r="W162" s="14" t="str">
        <f>iferror(average(EBITDA_MARGIN!W45:W48),"")</f>
        <v/>
      </c>
      <c r="X162" s="25">
        <f>iferror(average(EBITDA_MARGIN!X45:X48),"")</f>
        <v>0.1161085596</v>
      </c>
      <c r="Y162" s="25" t="str">
        <f>iferror(average(EBITDA_MARGIN!Y45:Y48),"")</f>
        <v/>
      </c>
      <c r="Z162" s="25" t="str">
        <f>iferror(average(EBITDA_MARGIN!Z45:Z48),"")</f>
        <v/>
      </c>
      <c r="AA162" s="25" t="str">
        <f>iferror(average(EBITDA_MARGIN!AA45:AA48),"")</f>
        <v/>
      </c>
      <c r="AB162" s="25" t="str">
        <f>iferror(average(EBITDA_MARGIN!AB45:AB48),"")</f>
        <v/>
      </c>
      <c r="AC162" s="25" t="str">
        <f>iferror(average(EBITDA_MARGIN!AC45:AC48),"")</f>
        <v/>
      </c>
      <c r="AD162" s="12"/>
    </row>
    <row r="163">
      <c r="A163" s="15" t="s">
        <v>76</v>
      </c>
      <c r="B163" s="14" t="str">
        <f>iferror(average(EBITDA_MARGIN!B46:B49),"")</f>
        <v/>
      </c>
      <c r="C163" s="14">
        <f>iferror(average(EBITDA_MARGIN!C46:C49),"")</f>
        <v>0.1732612439</v>
      </c>
      <c r="D163" s="14">
        <f>iferror(average(EBITDA_MARGIN!D46:D49),"")</f>
        <v>0.2446291541</v>
      </c>
      <c r="E163" s="14">
        <f>iferror(average(EBITDA_MARGIN!E46:E49),"")</f>
        <v>0.364870441</v>
      </c>
      <c r="F163" s="14" t="str">
        <f>iferror(average(EBITDA_MARGIN!F46:F49),"")</f>
        <v/>
      </c>
      <c r="G163" s="14" t="str">
        <f>iferror(average(EBITDA_MARGIN!G46:G49),"")</f>
        <v/>
      </c>
      <c r="H163" s="14" t="str">
        <f>iferror(average(EBITDA_MARGIN!H46:H49),"")</f>
        <v/>
      </c>
      <c r="I163" s="14" t="str">
        <f>iferror(average(EBITDA_MARGIN!I46:I49),"")</f>
        <v/>
      </c>
      <c r="J163" s="14"/>
      <c r="K163" s="14"/>
      <c r="L163" s="14" t="str">
        <f>iferror(average(EBITDA_MARGIN!L46:L49),"")</f>
        <v/>
      </c>
      <c r="M163" s="14" t="str">
        <f>iferror(average(EBITDA_MARGIN!M46:M49),"")</f>
        <v/>
      </c>
      <c r="N163" s="14" t="str">
        <f>iferror(average(EBITDA_MARGIN!N46:N49),"")</f>
        <v/>
      </c>
      <c r="O163" s="14">
        <f>iferror(average(EBITDA_MARGIN!O46:O49),"")</f>
        <v>0.3492481877</v>
      </c>
      <c r="P163" s="14" t="str">
        <f>iferror(average(EBITDA_MARGIN!P46:P49),"")</f>
        <v/>
      </c>
      <c r="Q163" s="14" t="str">
        <f>iferror(average(EBITDA_MARGIN!Q46:Q49),"")</f>
        <v/>
      </c>
      <c r="R163" s="14"/>
      <c r="S163" s="14" t="str">
        <f>iferror(average(EBITDA_MARGIN!S46:S49),"")</f>
        <v/>
      </c>
      <c r="T163" s="14" t="str">
        <f>iferror(average(EBITDA_MARGIN!T46:T49),"")</f>
        <v/>
      </c>
      <c r="U163" s="14" t="str">
        <f>iferror(average(EBITDA_MARGIN!U46:U49),"")</f>
        <v/>
      </c>
      <c r="V163" s="14">
        <f>iferror(average(EBITDA_MARGIN!V46:V49),"")</f>
        <v>-0.2714152382</v>
      </c>
      <c r="W163" s="14" t="str">
        <f>iferror(average(EBITDA_MARGIN!W46:W49),"")</f>
        <v/>
      </c>
      <c r="X163" s="25">
        <f>iferror(average(EBITDA_MARGIN!X46:X49),"")</f>
        <v>0.12819321</v>
      </c>
      <c r="Y163" s="25" t="str">
        <f>iferror(average(EBITDA_MARGIN!Y46:Y49),"")</f>
        <v/>
      </c>
      <c r="Z163" s="25" t="str">
        <f>iferror(average(EBITDA_MARGIN!Z46:Z49),"")</f>
        <v/>
      </c>
      <c r="AA163" s="25" t="str">
        <f>iferror(average(EBITDA_MARGIN!AA46:AA49),"")</f>
        <v/>
      </c>
      <c r="AB163" s="25" t="str">
        <f>iferror(average(EBITDA_MARGIN!AB46:AB49),"")</f>
        <v/>
      </c>
      <c r="AC163" s="25" t="str">
        <f>iferror(average(EBITDA_MARGIN!AC46:AC49),"")</f>
        <v/>
      </c>
      <c r="AD163" s="12"/>
    </row>
    <row r="164">
      <c r="A164" s="15" t="s">
        <v>77</v>
      </c>
      <c r="B164" s="14" t="str">
        <f>iferror(average(EBITDA_MARGIN!B47:B50),"")</f>
        <v/>
      </c>
      <c r="C164" s="14">
        <f>iferror(average(EBITDA_MARGIN!C47:C50),"")</f>
        <v>0.1764330122</v>
      </c>
      <c r="D164" s="14">
        <f>iferror(average(EBITDA_MARGIN!D47:D50),"")</f>
        <v>0.2428600078</v>
      </c>
      <c r="E164" s="14">
        <f>iferror(average(EBITDA_MARGIN!E47:E50),"")</f>
        <v>0.36068446</v>
      </c>
      <c r="F164" s="14" t="str">
        <f>iferror(average(EBITDA_MARGIN!F47:F50),"")</f>
        <v/>
      </c>
      <c r="G164" s="14" t="str">
        <f>iferror(average(EBITDA_MARGIN!G47:G50),"")</f>
        <v/>
      </c>
      <c r="H164" s="14" t="str">
        <f>iferror(average(EBITDA_MARGIN!H47:H50),"")</f>
        <v/>
      </c>
      <c r="I164" s="14" t="str">
        <f>iferror(average(EBITDA_MARGIN!I47:I50),"")</f>
        <v/>
      </c>
      <c r="J164" s="14"/>
      <c r="K164" s="14"/>
      <c r="L164" s="14" t="str">
        <f>iferror(average(EBITDA_MARGIN!L47:L50),"")</f>
        <v/>
      </c>
      <c r="M164" s="14" t="str">
        <f>iferror(average(EBITDA_MARGIN!M47:M50),"")</f>
        <v/>
      </c>
      <c r="N164" s="14" t="str">
        <f>iferror(average(EBITDA_MARGIN!N47:N50),"")</f>
        <v/>
      </c>
      <c r="O164" s="14">
        <f>iferror(average(EBITDA_MARGIN!O47:O50),"")</f>
        <v>0.3466150823</v>
      </c>
      <c r="P164" s="14" t="str">
        <f>iferror(average(EBITDA_MARGIN!P47:P50),"")</f>
        <v/>
      </c>
      <c r="Q164" s="14" t="str">
        <f>iferror(average(EBITDA_MARGIN!Q47:Q50),"")</f>
        <v/>
      </c>
      <c r="R164" s="14"/>
      <c r="S164" s="14" t="str">
        <f>iferror(average(EBITDA_MARGIN!S47:S50),"")</f>
        <v/>
      </c>
      <c r="T164" s="14" t="str">
        <f>iferror(average(EBITDA_MARGIN!T47:T50),"")</f>
        <v/>
      </c>
      <c r="U164" s="14" t="str">
        <f>iferror(average(EBITDA_MARGIN!U47:U50),"")</f>
        <v/>
      </c>
      <c r="V164" s="14">
        <f>iferror(average(EBITDA_MARGIN!V47:V50),"")</f>
        <v>-0.3459770115</v>
      </c>
      <c r="W164" s="14" t="str">
        <f>iferror(average(EBITDA_MARGIN!W47:W50),"")</f>
        <v/>
      </c>
      <c r="X164" s="25">
        <f>iferror(average(EBITDA_MARGIN!X47:X50),"")</f>
        <v>0.1402778604</v>
      </c>
      <c r="Y164" s="25" t="str">
        <f>iferror(average(EBITDA_MARGIN!Y47:Y50),"")</f>
        <v/>
      </c>
      <c r="Z164" s="25" t="str">
        <f>iferror(average(EBITDA_MARGIN!Z47:Z50),"")</f>
        <v/>
      </c>
      <c r="AA164" s="25" t="str">
        <f>iferror(average(EBITDA_MARGIN!AA47:AA50),"")</f>
        <v/>
      </c>
      <c r="AB164" s="25" t="str">
        <f>iferror(average(EBITDA_MARGIN!AB47:AB50),"")</f>
        <v/>
      </c>
      <c r="AC164" s="25" t="str">
        <f>iferror(average(EBITDA_MARGIN!AC47:AC50),"")</f>
        <v/>
      </c>
      <c r="AD164" s="12"/>
    </row>
    <row r="165">
      <c r="A165" s="15" t="s">
        <v>78</v>
      </c>
      <c r="B165" s="14" t="str">
        <f>iferror(average(EBITDA_MARGIN!B48:B51),"")</f>
        <v/>
      </c>
      <c r="C165" s="14">
        <f>iferror(average(EBITDA_MARGIN!C48:C51),"")</f>
        <v>0.186856598</v>
      </c>
      <c r="D165" s="14">
        <f>iferror(average(EBITDA_MARGIN!D48:D51),"")</f>
        <v>0.2383996106</v>
      </c>
      <c r="E165" s="14">
        <f>iferror(average(EBITDA_MARGIN!E48:E51),"")</f>
        <v>0.3683142189</v>
      </c>
      <c r="F165" s="14"/>
      <c r="G165" s="14" t="str">
        <f>iferror(average(EBITDA_MARGIN!G48:G51),"")</f>
        <v/>
      </c>
      <c r="H165" s="14" t="str">
        <f>iferror(average(EBITDA_MARGIN!H48:H51),"")</f>
        <v/>
      </c>
      <c r="I165" s="14" t="str">
        <f>iferror(average(EBITDA_MARGIN!I48:I51),"")</f>
        <v/>
      </c>
      <c r="J165" s="14">
        <f>iferror(average(EBITDA_MARGIN!J48:J51),"")</f>
        <v>-0.1286760415</v>
      </c>
      <c r="K165" s="14"/>
      <c r="L165" s="14" t="str">
        <f>iferror(average(EBITDA_MARGIN!L48:L51),"")</f>
        <v/>
      </c>
      <c r="M165" s="14" t="str">
        <f>iferror(average(EBITDA_MARGIN!M48:M51),"")</f>
        <v/>
      </c>
      <c r="N165" s="14" t="str">
        <f>iferror(average(EBITDA_MARGIN!N48:N51),"")</f>
        <v/>
      </c>
      <c r="O165" s="14">
        <f>iferror(average(EBITDA_MARGIN!O48:O51),"")</f>
        <v>0.343981977</v>
      </c>
      <c r="P165" s="14" t="str">
        <f>iferror(average(EBITDA_MARGIN!P48:P51),"")</f>
        <v/>
      </c>
      <c r="Q165" s="14" t="str">
        <f>iferror(average(EBITDA_MARGIN!Q48:Q51),"")</f>
        <v/>
      </c>
      <c r="R165" s="14"/>
      <c r="S165" s="14" t="str">
        <f>iferror(average(EBITDA_MARGIN!S48:S51),"")</f>
        <v/>
      </c>
      <c r="T165" s="14" t="str">
        <f>iferror(average(EBITDA_MARGIN!T48:T51),"")</f>
        <v/>
      </c>
      <c r="U165" s="14" t="str">
        <f>iferror(average(EBITDA_MARGIN!U48:U51),"")</f>
        <v/>
      </c>
      <c r="V165" s="14">
        <f>iferror(average(EBITDA_MARGIN!V48:V51),"")</f>
        <v>-0.3705938697</v>
      </c>
      <c r="W165" s="14" t="str">
        <f>iferror(average(EBITDA_MARGIN!W48:W51),"")</f>
        <v/>
      </c>
      <c r="X165" s="25">
        <f>iferror(average(EBITDA_MARGIN!X48:X51),"")</f>
        <v>0.1523625108</v>
      </c>
      <c r="Y165" s="25" t="str">
        <f>iferror(average(EBITDA_MARGIN!Y48:Y51),"")</f>
        <v/>
      </c>
      <c r="Z165" s="25" t="str">
        <f>iferror(average(EBITDA_MARGIN!Z48:Z51),"")</f>
        <v/>
      </c>
      <c r="AA165" s="25" t="str">
        <f>iferror(average(EBITDA_MARGIN!AA48:AA51),"")</f>
        <v/>
      </c>
      <c r="AB165" s="25" t="str">
        <f>iferror(average(EBITDA_MARGIN!AB48:AB51),"")</f>
        <v/>
      </c>
      <c r="AC165" s="25" t="str">
        <f>iferror(average(EBITDA_MARGIN!AC48:AC51),"")</f>
        <v/>
      </c>
      <c r="AD165" s="12"/>
    </row>
    <row r="166">
      <c r="A166" s="15" t="s">
        <v>79</v>
      </c>
      <c r="B166" s="14" t="str">
        <f>iferror(average(EBITDA_MARGIN!B49:B52),"")</f>
        <v/>
      </c>
      <c r="C166" s="14">
        <f>iferror(average(EBITDA_MARGIN!C49:C52),"")</f>
        <v>0.1972801838</v>
      </c>
      <c r="D166" s="14">
        <f>iferror(average(EBITDA_MARGIN!D49:D52),"")</f>
        <v>0.2339392135</v>
      </c>
      <c r="E166" s="14">
        <f>iferror(average(EBITDA_MARGIN!E49:E52),"")</f>
        <v>0.3759439777</v>
      </c>
      <c r="F166" s="14"/>
      <c r="G166" s="14" t="str">
        <f>iferror(average(EBITDA_MARGIN!G49:G52),"")</f>
        <v/>
      </c>
      <c r="H166" s="14" t="str">
        <f>iferror(average(EBITDA_MARGIN!H49:H52),"")</f>
        <v/>
      </c>
      <c r="I166" s="14" t="str">
        <f>iferror(average(EBITDA_MARGIN!I49:I52),"")</f>
        <v/>
      </c>
      <c r="J166" s="14">
        <f>iferror(average(EBITDA_MARGIN!J49:J52),"")</f>
        <v>-0.1097131106</v>
      </c>
      <c r="K166" s="14"/>
      <c r="L166" s="14" t="str">
        <f>iferror(average(EBITDA_MARGIN!L49:L52),"")</f>
        <v/>
      </c>
      <c r="M166" s="14" t="str">
        <f>iferror(average(EBITDA_MARGIN!M49:M52),"")</f>
        <v/>
      </c>
      <c r="N166" s="14" t="str">
        <f>iferror(average(EBITDA_MARGIN!N49:N52),"")</f>
        <v/>
      </c>
      <c r="O166" s="14">
        <f>iferror(average(EBITDA_MARGIN!O49:O52),"")</f>
        <v>0.3413488716</v>
      </c>
      <c r="P166" s="14" t="str">
        <f>iferror(average(EBITDA_MARGIN!P49:P52),"")</f>
        <v/>
      </c>
      <c r="Q166" s="14" t="str">
        <f>iferror(average(EBITDA_MARGIN!Q49:Q52),"")</f>
        <v/>
      </c>
      <c r="R166" s="14"/>
      <c r="S166" s="14" t="str">
        <f>iferror(average(EBITDA_MARGIN!S49:S52),"")</f>
        <v/>
      </c>
      <c r="T166" s="14" t="str">
        <f>iferror(average(EBITDA_MARGIN!T49:T52),"")</f>
        <v/>
      </c>
      <c r="U166" s="14" t="str">
        <f>iferror(average(EBITDA_MARGIN!U49:U52),"")</f>
        <v/>
      </c>
      <c r="V166" s="14">
        <f>iferror(average(EBITDA_MARGIN!V49:V52),"")</f>
        <v>-0.395210728</v>
      </c>
      <c r="W166" s="14" t="str">
        <f>iferror(average(EBITDA_MARGIN!W49:W52),"")</f>
        <v/>
      </c>
      <c r="X166" s="25">
        <f>iferror(average(EBITDA_MARGIN!X49:X52),"")</f>
        <v>0.1644471612</v>
      </c>
      <c r="Y166" s="25" t="str">
        <f>iferror(average(EBITDA_MARGIN!Y49:Y52),"")</f>
        <v/>
      </c>
      <c r="Z166" s="25" t="str">
        <f>iferror(average(EBITDA_MARGIN!Z49:Z52),"")</f>
        <v/>
      </c>
      <c r="AA166" s="25" t="str">
        <f>iferror(average(EBITDA_MARGIN!AA49:AA52),"")</f>
        <v/>
      </c>
      <c r="AB166" s="25" t="str">
        <f>iferror(average(EBITDA_MARGIN!AB49:AB52),"")</f>
        <v/>
      </c>
      <c r="AC166" s="25" t="str">
        <f>iferror(average(EBITDA_MARGIN!AC49:AC52),"")</f>
        <v/>
      </c>
      <c r="AD166" s="12"/>
    </row>
    <row r="167">
      <c r="A167" s="15" t="s">
        <v>80</v>
      </c>
      <c r="B167" s="14" t="str">
        <f>iferror(average(EBITDA_MARGIN!B50:B53),"")</f>
        <v/>
      </c>
      <c r="C167" s="14">
        <f>iferror(average(EBITDA_MARGIN!C50:C53),"")</f>
        <v>0.2077037696</v>
      </c>
      <c r="D167" s="14">
        <f>iferror(average(EBITDA_MARGIN!D50:D53),"")</f>
        <v>0.2294788164</v>
      </c>
      <c r="E167" s="14">
        <f>iferror(average(EBITDA_MARGIN!E50:E53),"")</f>
        <v>0.3835737366</v>
      </c>
      <c r="F167" s="14"/>
      <c r="G167" s="14" t="str">
        <f>iferror(average(EBITDA_MARGIN!G50:G53),"")</f>
        <v/>
      </c>
      <c r="H167" s="14" t="str">
        <f>iferror(average(EBITDA_MARGIN!H50:H53),"")</f>
        <v/>
      </c>
      <c r="I167" s="14" t="str">
        <f>iferror(average(EBITDA_MARGIN!I50:I53),"")</f>
        <v/>
      </c>
      <c r="J167" s="14">
        <f>iferror(average(EBITDA_MARGIN!J50:J53),"")</f>
        <v>-0.0907501797</v>
      </c>
      <c r="K167" s="14"/>
      <c r="L167" s="14" t="str">
        <f>iferror(average(EBITDA_MARGIN!L50:L53),"")</f>
        <v/>
      </c>
      <c r="M167" s="14" t="str">
        <f>iferror(average(EBITDA_MARGIN!M50:M53),"")</f>
        <v/>
      </c>
      <c r="N167" s="14" t="str">
        <f>iferror(average(EBITDA_MARGIN!N50:N53),"")</f>
        <v/>
      </c>
      <c r="O167" s="14">
        <f>iferror(average(EBITDA_MARGIN!O50:O53),"")</f>
        <v>0.3440838743</v>
      </c>
      <c r="P167" s="14" t="str">
        <f>iferror(average(EBITDA_MARGIN!P50:P53),"")</f>
        <v/>
      </c>
      <c r="Q167" s="14" t="str">
        <f>iferror(average(EBITDA_MARGIN!Q50:Q53),"")</f>
        <v/>
      </c>
      <c r="R167" s="14"/>
      <c r="S167" s="14" t="str">
        <f>iferror(average(EBITDA_MARGIN!S50:S53),"")</f>
        <v/>
      </c>
      <c r="T167" s="14" t="str">
        <f>iferror(average(EBITDA_MARGIN!T50:T53),"")</f>
        <v/>
      </c>
      <c r="U167" s="14" t="str">
        <f>iferror(average(EBITDA_MARGIN!U50:U53),"")</f>
        <v/>
      </c>
      <c r="V167" s="14">
        <f>iferror(average(EBITDA_MARGIN!V50:V53),"")</f>
        <v>-0.4198275862</v>
      </c>
      <c r="W167" s="14" t="str">
        <f>iferror(average(EBITDA_MARGIN!W50:W53),"")</f>
        <v/>
      </c>
      <c r="X167" s="25">
        <f>iferror(average(EBITDA_MARGIN!X50:X53),"")</f>
        <v>0.1387118627</v>
      </c>
      <c r="Y167" s="25" t="str">
        <f>iferror(average(EBITDA_MARGIN!Y50:Y53),"")</f>
        <v/>
      </c>
      <c r="Z167" s="25" t="str">
        <f>iferror(average(EBITDA_MARGIN!Z50:Z53),"")</f>
        <v/>
      </c>
      <c r="AA167" s="25" t="str">
        <f>iferror(average(EBITDA_MARGIN!AA50:AA53),"")</f>
        <v/>
      </c>
      <c r="AB167" s="25" t="str">
        <f>iferror(average(EBITDA_MARGIN!AB50:AB53),"")</f>
        <v/>
      </c>
      <c r="AC167" s="25" t="str">
        <f>iferror(average(EBITDA_MARGIN!AC50:AC53),"")</f>
        <v/>
      </c>
      <c r="AD167" s="12"/>
    </row>
    <row r="168">
      <c r="A168" s="15" t="s">
        <v>81</v>
      </c>
      <c r="B168" s="14" t="str">
        <f>iferror(average(EBITDA_MARGIN!B51:B54),"")</f>
        <v/>
      </c>
      <c r="C168" s="14">
        <f>iferror(average(EBITDA_MARGIN!C51:C54),"")</f>
        <v>0.2181273554</v>
      </c>
      <c r="D168" s="14">
        <f>iferror(average(EBITDA_MARGIN!D51:D54),"")</f>
        <v>0.2250184193</v>
      </c>
      <c r="E168" s="14">
        <f>iferror(average(EBITDA_MARGIN!E51:E54),"")</f>
        <v>0.3912034954</v>
      </c>
      <c r="F168" s="14">
        <f>iferror(average(EBITDA_MARGIN!F51:F54),"")</f>
        <v>0.5433682961</v>
      </c>
      <c r="G168" s="14" t="str">
        <f>iferror(average(EBITDA_MARGIN!G51:G54),"")</f>
        <v/>
      </c>
      <c r="H168" s="14" t="str">
        <f>iferror(average(EBITDA_MARGIN!H51:H54),"")</f>
        <v/>
      </c>
      <c r="I168" s="14" t="str">
        <f>iferror(average(EBITDA_MARGIN!I51:I54),"")</f>
        <v/>
      </c>
      <c r="J168" s="14">
        <f>iferror(average(EBITDA_MARGIN!J51:J54),"")</f>
        <v>-0.07178724878</v>
      </c>
      <c r="K168" s="14"/>
      <c r="L168" s="14" t="str">
        <f>iferror(average(EBITDA_MARGIN!L51:L54),"")</f>
        <v/>
      </c>
      <c r="M168" s="14" t="str">
        <f>iferror(average(EBITDA_MARGIN!M51:M54),"")</f>
        <v/>
      </c>
      <c r="N168" s="14" t="str">
        <f>iferror(average(EBITDA_MARGIN!N51:N54),"")</f>
        <v/>
      </c>
      <c r="O168" s="14">
        <f>iferror(average(EBITDA_MARGIN!O51:O54),"")</f>
        <v>0.3468188771</v>
      </c>
      <c r="P168" s="14" t="str">
        <f>iferror(average(EBITDA_MARGIN!P51:P54),"")</f>
        <v/>
      </c>
      <c r="Q168" s="14" t="str">
        <f>iferror(average(EBITDA_MARGIN!Q51:Q54),"")</f>
        <v/>
      </c>
      <c r="R168" s="14"/>
      <c r="S168" s="14" t="str">
        <f>iferror(average(EBITDA_MARGIN!S51:S54),"")</f>
        <v/>
      </c>
      <c r="T168" s="14" t="str">
        <f>iferror(average(EBITDA_MARGIN!T51:T54),"")</f>
        <v/>
      </c>
      <c r="U168" s="14" t="str">
        <f>iferror(average(EBITDA_MARGIN!U51:U54),"")</f>
        <v/>
      </c>
      <c r="V168" s="14">
        <f>iferror(average(EBITDA_MARGIN!V51:V54),"")</f>
        <v>-0.4444444444</v>
      </c>
      <c r="W168" s="14" t="str">
        <f>iferror(average(EBITDA_MARGIN!W51:W54),"")</f>
        <v/>
      </c>
      <c r="X168" s="25">
        <f>iferror(average(EBITDA_MARGIN!X51:X54),"")</f>
        <v>0.1129765642</v>
      </c>
      <c r="Y168" s="25" t="str">
        <f>iferror(average(EBITDA_MARGIN!Y51:Y54),"")</f>
        <v/>
      </c>
      <c r="Z168" s="25" t="str">
        <f>iferror(average(EBITDA_MARGIN!Z51:Z54),"")</f>
        <v/>
      </c>
      <c r="AA168" s="25" t="str">
        <f>iferror(average(EBITDA_MARGIN!AA51:AA54),"")</f>
        <v/>
      </c>
      <c r="AB168" s="25" t="str">
        <f>iferror(average(EBITDA_MARGIN!AB51:AB54),"")</f>
        <v/>
      </c>
      <c r="AC168" s="25" t="str">
        <f>iferror(average(EBITDA_MARGIN!AC51:AC54),"")</f>
        <v/>
      </c>
      <c r="AD168" s="12"/>
    </row>
    <row r="169">
      <c r="A169" s="15" t="s">
        <v>82</v>
      </c>
      <c r="B169" s="14" t="str">
        <f>iferror(average(EBITDA_MARGIN!B52:B55),"")</f>
        <v/>
      </c>
      <c r="C169" s="14">
        <f>iferror(average(EBITDA_MARGIN!C52:C55),"")</f>
        <v>0.2314469577</v>
      </c>
      <c r="D169" s="14">
        <f>iferror(average(EBITDA_MARGIN!D52:D55),"")</f>
        <v>0.2224553308</v>
      </c>
      <c r="E169" s="14">
        <f>iferror(average(EBITDA_MARGIN!E52:E55),"")</f>
        <v>0.3962362819</v>
      </c>
      <c r="F169" s="14">
        <f>iferror(average(EBITDA_MARGIN!F52:F55),"")</f>
        <v>0.5384391772</v>
      </c>
      <c r="G169" s="14" t="str">
        <f>iferror(average(EBITDA_MARGIN!G52:G55),"")</f>
        <v/>
      </c>
      <c r="H169" s="14" t="str">
        <f>iferror(average(EBITDA_MARGIN!H52:H55),"")</f>
        <v/>
      </c>
      <c r="I169" s="14" t="str">
        <f>iferror(average(EBITDA_MARGIN!I52:I55),"")</f>
        <v/>
      </c>
      <c r="J169" s="14">
        <f>iferror(average(EBITDA_MARGIN!J52:J55),"")</f>
        <v>-0.05282431786</v>
      </c>
      <c r="K169" s="14"/>
      <c r="L169" s="14" t="str">
        <f>iferror(average(EBITDA_MARGIN!L52:L55),"")</f>
        <v/>
      </c>
      <c r="M169" s="14" t="str">
        <f>iferror(average(EBITDA_MARGIN!M52:M55),"")</f>
        <v/>
      </c>
      <c r="N169" s="14" t="str">
        <f>iferror(average(EBITDA_MARGIN!N52:N55),"")</f>
        <v/>
      </c>
      <c r="O169" s="14">
        <f>iferror(average(EBITDA_MARGIN!O52:O55),"")</f>
        <v>0.3495538798</v>
      </c>
      <c r="P169" s="14" t="str">
        <f>iferror(average(EBITDA_MARGIN!P52:P55),"")</f>
        <v/>
      </c>
      <c r="Q169" s="14" t="str">
        <f>iferror(average(EBITDA_MARGIN!Q52:Q55),"")</f>
        <v/>
      </c>
      <c r="R169" s="14"/>
      <c r="S169" s="14" t="str">
        <f>iferror(average(EBITDA_MARGIN!S52:S55),"")</f>
        <v/>
      </c>
      <c r="T169" s="14" t="str">
        <f>iferror(average(EBITDA_MARGIN!T52:T55),"")</f>
        <v/>
      </c>
      <c r="U169" s="14" t="str">
        <f>iferror(average(EBITDA_MARGIN!U52:U55),"")</f>
        <v/>
      </c>
      <c r="V169" s="14">
        <f>iferror(average(EBITDA_MARGIN!V52:V55),"")</f>
        <v>-0.3517679731</v>
      </c>
      <c r="W169" s="14" t="str">
        <f>iferror(average(EBITDA_MARGIN!W52:W55),"")</f>
        <v/>
      </c>
      <c r="X169" s="25">
        <f>iferror(average(EBITDA_MARGIN!X52:X55),"")</f>
        <v>0.0872412657</v>
      </c>
      <c r="Y169" s="25" t="str">
        <f>iferror(average(EBITDA_MARGIN!Y52:Y55),"")</f>
        <v/>
      </c>
      <c r="Z169" s="25" t="str">
        <f>iferror(average(EBITDA_MARGIN!Z52:Z55),"")</f>
        <v/>
      </c>
      <c r="AA169" s="25" t="str">
        <f>iferror(average(EBITDA_MARGIN!AA52:AA55),"")</f>
        <v/>
      </c>
      <c r="AB169" s="25" t="str">
        <f>iferror(average(EBITDA_MARGIN!AB52:AB55),"")</f>
        <v/>
      </c>
      <c r="AC169" s="25" t="str">
        <f>iferror(average(EBITDA_MARGIN!AC52:AC55),"")</f>
        <v/>
      </c>
      <c r="AD169" s="12"/>
    </row>
    <row r="170">
      <c r="A170" s="15" t="s">
        <v>83</v>
      </c>
      <c r="B170" s="14" t="str">
        <f>iferror(average(EBITDA_MARGIN!B53:B56),"")</f>
        <v/>
      </c>
      <c r="C170" s="14">
        <f>iferror(average(EBITDA_MARGIN!C53:C56),"")</f>
        <v>0.24476656</v>
      </c>
      <c r="D170" s="14">
        <f>iferror(average(EBITDA_MARGIN!D53:D56),"")</f>
        <v>0.2198922423</v>
      </c>
      <c r="E170" s="14">
        <f>iferror(average(EBITDA_MARGIN!E53:E56),"")</f>
        <v>0.4012690684</v>
      </c>
      <c r="F170" s="14">
        <f>iferror(average(EBITDA_MARGIN!F53:F56),"")</f>
        <v>0.5335100583</v>
      </c>
      <c r="G170" s="14" t="str">
        <f>iferror(average(EBITDA_MARGIN!G53:G56),"")</f>
        <v/>
      </c>
      <c r="H170" s="14" t="str">
        <f>iferror(average(EBITDA_MARGIN!H53:H56),"")</f>
        <v/>
      </c>
      <c r="I170" s="14" t="str">
        <f>iferror(average(EBITDA_MARGIN!I53:I56),"")</f>
        <v/>
      </c>
      <c r="J170" s="14">
        <f>iferror(average(EBITDA_MARGIN!J53:J56),"")</f>
        <v>-0.02747713946</v>
      </c>
      <c r="K170" s="14"/>
      <c r="L170" s="14" t="str">
        <f>iferror(average(EBITDA_MARGIN!L53:L56),"")</f>
        <v/>
      </c>
      <c r="M170" s="14" t="str">
        <f>iferror(average(EBITDA_MARGIN!M53:M56),"")</f>
        <v/>
      </c>
      <c r="N170" s="14" t="str">
        <f>iferror(average(EBITDA_MARGIN!N53:N56),"")</f>
        <v/>
      </c>
      <c r="O170" s="14">
        <f>iferror(average(EBITDA_MARGIN!O53:O56),"")</f>
        <v>0.3522888826</v>
      </c>
      <c r="P170" s="14" t="str">
        <f>iferror(average(EBITDA_MARGIN!P53:P56),"")</f>
        <v/>
      </c>
      <c r="Q170" s="14" t="str">
        <f>iferror(average(EBITDA_MARGIN!Q53:Q56),"")</f>
        <v/>
      </c>
      <c r="R170" s="14"/>
      <c r="S170" s="14" t="str">
        <f>iferror(average(EBITDA_MARGIN!S53:S56),"")</f>
        <v/>
      </c>
      <c r="T170" s="14" t="str">
        <f>iferror(average(EBITDA_MARGIN!T53:T56),"")</f>
        <v/>
      </c>
      <c r="U170" s="14" t="str">
        <f>iferror(average(EBITDA_MARGIN!U53:U56),"")</f>
        <v/>
      </c>
      <c r="V170" s="14">
        <f>iferror(average(EBITDA_MARGIN!V53:V56),"")</f>
        <v>-0.2590915018</v>
      </c>
      <c r="W170" s="14" t="str">
        <f>iferror(average(EBITDA_MARGIN!W53:W56),"")</f>
        <v/>
      </c>
      <c r="X170" s="25">
        <f>iferror(average(EBITDA_MARGIN!X53:X56),"")</f>
        <v>0.06150596719</v>
      </c>
      <c r="Y170" s="25" t="str">
        <f>iferror(average(EBITDA_MARGIN!Y53:Y56),"")</f>
        <v/>
      </c>
      <c r="Z170" s="25" t="str">
        <f>iferror(average(EBITDA_MARGIN!Z53:Z56),"")</f>
        <v/>
      </c>
      <c r="AA170" s="25" t="str">
        <f>iferror(average(EBITDA_MARGIN!AA53:AA56),"")</f>
        <v/>
      </c>
      <c r="AB170" s="25" t="str">
        <f>iferror(average(EBITDA_MARGIN!AB53:AB56),"")</f>
        <v/>
      </c>
      <c r="AC170" s="25" t="str">
        <f>iferror(average(EBITDA_MARGIN!AC53:AC56),"")</f>
        <v/>
      </c>
      <c r="AD170" s="12"/>
    </row>
    <row r="171">
      <c r="A171" s="15" t="s">
        <v>84</v>
      </c>
      <c r="B171" s="14" t="str">
        <f>iferror(average(EBITDA_MARGIN!B54:B57),"")</f>
        <v/>
      </c>
      <c r="C171" s="14">
        <f>iferror(average(EBITDA_MARGIN!C54:C57),"")</f>
        <v>0.2580861622</v>
      </c>
      <c r="D171" s="14">
        <f>iferror(average(EBITDA_MARGIN!D54:D57),"")</f>
        <v>0.2173291538</v>
      </c>
      <c r="E171" s="14">
        <f>iferror(average(EBITDA_MARGIN!E54:E57),"")</f>
        <v>0.406301855</v>
      </c>
      <c r="F171" s="14">
        <f>iferror(average(EBITDA_MARGIN!F54:F57),"")</f>
        <v>0.5285809394</v>
      </c>
      <c r="G171" s="14" t="str">
        <f>iferror(average(EBITDA_MARGIN!G54:G57),"")</f>
        <v/>
      </c>
      <c r="H171" s="14" t="str">
        <f>iferror(average(EBITDA_MARGIN!H54:H57),"")</f>
        <v/>
      </c>
      <c r="I171" s="14" t="str">
        <f>iferror(average(EBITDA_MARGIN!I54:I57),"")</f>
        <v/>
      </c>
      <c r="J171" s="14">
        <f>iferror(average(EBITDA_MARGIN!J54:J57),"")</f>
        <v>-0.002129961062</v>
      </c>
      <c r="K171" s="14"/>
      <c r="L171" s="14" t="str">
        <f>iferror(average(EBITDA_MARGIN!L54:L57),"")</f>
        <v/>
      </c>
      <c r="M171" s="14" t="str">
        <f>iferror(average(EBITDA_MARGIN!M54:M57),"")</f>
        <v/>
      </c>
      <c r="N171" s="14" t="str">
        <f>iferror(average(EBITDA_MARGIN!N54:N57),"")</f>
        <v/>
      </c>
      <c r="O171" s="14">
        <f>iferror(average(EBITDA_MARGIN!O54:O57),"")</f>
        <v>0.3426015997</v>
      </c>
      <c r="P171" s="14" t="str">
        <f>iferror(average(EBITDA_MARGIN!P54:P57),"")</f>
        <v/>
      </c>
      <c r="Q171" s="14" t="str">
        <f>iferror(average(EBITDA_MARGIN!Q54:Q57),"")</f>
        <v/>
      </c>
      <c r="R171" s="14"/>
      <c r="S171" s="14" t="str">
        <f>iferror(average(EBITDA_MARGIN!S54:S57),"")</f>
        <v/>
      </c>
      <c r="T171" s="14" t="str">
        <f>iferror(average(EBITDA_MARGIN!T54:T57),"")</f>
        <v/>
      </c>
      <c r="U171" s="14" t="str">
        <f>iferror(average(EBITDA_MARGIN!U54:U57),"")</f>
        <v/>
      </c>
      <c r="V171" s="14">
        <f>iferror(average(EBITDA_MARGIN!V54:V57),"")</f>
        <v>-0.1664150305</v>
      </c>
      <c r="W171" s="14" t="str">
        <f>iferror(average(EBITDA_MARGIN!W54:W57),"")</f>
        <v/>
      </c>
      <c r="X171" s="25">
        <f>iferror(average(EBITDA_MARGIN!X54:X57),"")</f>
        <v>0.07389216669</v>
      </c>
      <c r="Y171" s="25" t="str">
        <f>iferror(average(EBITDA_MARGIN!Y54:Y57),"")</f>
        <v/>
      </c>
      <c r="Z171" s="25" t="str">
        <f>iferror(average(EBITDA_MARGIN!Z54:Z57),"")</f>
        <v/>
      </c>
      <c r="AA171" s="25" t="str">
        <f>iferror(average(EBITDA_MARGIN!AA54:AA57),"")</f>
        <v/>
      </c>
      <c r="AB171" s="25" t="str">
        <f>iferror(average(EBITDA_MARGIN!AB54:AB57),"")</f>
        <v/>
      </c>
      <c r="AC171" s="25" t="str">
        <f>iferror(average(EBITDA_MARGIN!AC54:AC57),"")</f>
        <v/>
      </c>
      <c r="AD171" s="12"/>
    </row>
    <row r="172">
      <c r="A172" s="15" t="s">
        <v>85</v>
      </c>
      <c r="B172" s="14" t="str">
        <f>iferror(average(EBITDA_MARGIN!B55:B58),"")</f>
        <v/>
      </c>
      <c r="C172" s="14">
        <f>iferror(average(EBITDA_MARGIN!C55:C58),"")</f>
        <v>0.2714057645</v>
      </c>
      <c r="D172" s="14">
        <f>iferror(average(EBITDA_MARGIN!D55:D58),"")</f>
        <v>0.2147660652</v>
      </c>
      <c r="E172" s="14">
        <f>iferror(average(EBITDA_MARGIN!E55:E58),"")</f>
        <v>0.4113346415</v>
      </c>
      <c r="F172" s="14">
        <f>iferror(average(EBITDA_MARGIN!F55:F58),"")</f>
        <v>0.5236518204</v>
      </c>
      <c r="G172" s="14" t="str">
        <f>iferror(average(EBITDA_MARGIN!G55:G58),"")</f>
        <v/>
      </c>
      <c r="H172" s="14" t="str">
        <f>iferror(average(EBITDA_MARGIN!H55:H58),"")</f>
        <v/>
      </c>
      <c r="I172" s="14" t="str">
        <f>iferror(average(EBITDA_MARGIN!I55:I58),"")</f>
        <v/>
      </c>
      <c r="J172" s="14">
        <f>iferror(average(EBITDA_MARGIN!J55:J58),"")</f>
        <v>0.02321721733</v>
      </c>
      <c r="K172" s="14"/>
      <c r="L172" s="14" t="str">
        <f>iferror(average(EBITDA_MARGIN!L55:L58),"")</f>
        <v/>
      </c>
      <c r="M172" s="14" t="str">
        <f>iferror(average(EBITDA_MARGIN!M55:M58),"")</f>
        <v/>
      </c>
      <c r="N172" s="14" t="str">
        <f>iferror(average(EBITDA_MARGIN!N55:N58),"")</f>
        <v/>
      </c>
      <c r="O172" s="14">
        <f>iferror(average(EBITDA_MARGIN!O55:O58),"")</f>
        <v>0.3329143168</v>
      </c>
      <c r="P172" s="14" t="str">
        <f>iferror(average(EBITDA_MARGIN!P55:P58),"")</f>
        <v/>
      </c>
      <c r="Q172" s="14" t="str">
        <f>iferror(average(EBITDA_MARGIN!Q55:Q58),"")</f>
        <v/>
      </c>
      <c r="R172" s="14"/>
      <c r="S172" s="14" t="str">
        <f>iferror(average(EBITDA_MARGIN!S55:S58),"")</f>
        <v/>
      </c>
      <c r="T172" s="14" t="str">
        <f>iferror(average(EBITDA_MARGIN!T55:T58),"")</f>
        <v/>
      </c>
      <c r="U172" s="14" t="str">
        <f>iferror(average(EBITDA_MARGIN!U55:U58),"")</f>
        <v/>
      </c>
      <c r="V172" s="14">
        <f>iferror(average(EBITDA_MARGIN!V55:V58),"")</f>
        <v>-0.07373855921</v>
      </c>
      <c r="W172" s="14" t="str">
        <f>iferror(average(EBITDA_MARGIN!W55:W58),"")</f>
        <v/>
      </c>
      <c r="X172" s="25">
        <f>iferror(average(EBITDA_MARGIN!X55:X58),"")</f>
        <v>0.0862783662</v>
      </c>
      <c r="Y172" s="25" t="str">
        <f>iferror(average(EBITDA_MARGIN!Y55:Y58),"")</f>
        <v/>
      </c>
      <c r="Z172" s="25" t="str">
        <f>iferror(average(EBITDA_MARGIN!Z55:Z58),"")</f>
        <v/>
      </c>
      <c r="AA172" s="25" t="str">
        <f>iferror(average(EBITDA_MARGIN!AA55:AA58),"")</f>
        <v/>
      </c>
      <c r="AB172" s="25" t="str">
        <f>iferror(average(EBITDA_MARGIN!AB55:AB58),"")</f>
        <v/>
      </c>
      <c r="AC172" s="25" t="str">
        <f>iferror(average(EBITDA_MARGIN!AC55:AC58),"")</f>
        <v/>
      </c>
      <c r="AD172" s="12"/>
    </row>
    <row r="173">
      <c r="A173" s="15" t="s">
        <v>86</v>
      </c>
      <c r="B173" s="14" t="str">
        <f>iferror(average(EBITDA_MARGIN!B56:B59),"")</f>
        <v/>
      </c>
      <c r="C173" s="14">
        <f>iferror(average(EBITDA_MARGIN!C56:C59),"")</f>
        <v>0.2869379367</v>
      </c>
      <c r="D173" s="14">
        <f>iferror(average(EBITDA_MARGIN!D56:D59),"")</f>
        <v>0.2085808036</v>
      </c>
      <c r="E173" s="14">
        <f>iferror(average(EBITDA_MARGIN!E56:E59),"")</f>
        <v>0.3965538356</v>
      </c>
      <c r="F173" s="14">
        <f>iferror(average(EBITDA_MARGIN!F56:F59),"")</f>
        <v>0.5126540072</v>
      </c>
      <c r="G173" s="14" t="str">
        <f>iferror(average(EBITDA_MARGIN!G56:G59),"")</f>
        <v/>
      </c>
      <c r="H173" s="14" t="str">
        <f>iferror(average(EBITDA_MARGIN!H56:H59),"")</f>
        <v/>
      </c>
      <c r="I173" s="14" t="str">
        <f>iferror(average(EBITDA_MARGIN!I56:I59),"")</f>
        <v/>
      </c>
      <c r="J173" s="14">
        <f>iferror(average(EBITDA_MARGIN!J56:J59),"")</f>
        <v>0.04856439573</v>
      </c>
      <c r="K173" s="14"/>
      <c r="L173" s="14" t="str">
        <f>iferror(average(EBITDA_MARGIN!L56:L59),"")</f>
        <v/>
      </c>
      <c r="M173" s="14" t="str">
        <f>iferror(average(EBITDA_MARGIN!M56:M59),"")</f>
        <v/>
      </c>
      <c r="N173" s="14" t="str">
        <f>iferror(average(EBITDA_MARGIN!N56:N59),"")</f>
        <v/>
      </c>
      <c r="O173" s="14">
        <f>iferror(average(EBITDA_MARGIN!O56:O59),"")</f>
        <v>0.323227034</v>
      </c>
      <c r="P173" s="14" t="str">
        <f>iferror(average(EBITDA_MARGIN!P56:P59),"")</f>
        <v/>
      </c>
      <c r="Q173" s="14" t="str">
        <f>iferror(average(EBITDA_MARGIN!Q56:Q59),"")</f>
        <v/>
      </c>
      <c r="R173" s="14"/>
      <c r="S173" s="14" t="str">
        <f>iferror(average(EBITDA_MARGIN!S56:S59),"")</f>
        <v/>
      </c>
      <c r="T173" s="14" t="str">
        <f>iferror(average(EBITDA_MARGIN!T56:T59),"")</f>
        <v/>
      </c>
      <c r="U173" s="14" t="str">
        <f>iferror(average(EBITDA_MARGIN!U56:U59),"")</f>
        <v/>
      </c>
      <c r="V173" s="14">
        <f>iferror(average(EBITDA_MARGIN!V56:V59),"")</f>
        <v>-0.06677341938</v>
      </c>
      <c r="W173" s="14" t="str">
        <f>iferror(average(EBITDA_MARGIN!W56:W59),"")</f>
        <v/>
      </c>
      <c r="X173" s="25">
        <f>iferror(average(EBITDA_MARGIN!X56:X59),"")</f>
        <v>0.0986645657</v>
      </c>
      <c r="Y173" s="25" t="str">
        <f>iferror(average(EBITDA_MARGIN!Y56:Y59),"")</f>
        <v/>
      </c>
      <c r="Z173" s="25" t="str">
        <f>iferror(average(EBITDA_MARGIN!Z56:Z59),"")</f>
        <v/>
      </c>
      <c r="AA173" s="25" t="str">
        <f>iferror(average(EBITDA_MARGIN!AA56:AA59),"")</f>
        <v/>
      </c>
      <c r="AB173" s="25" t="str">
        <f>iferror(average(EBITDA_MARGIN!AB56:AB59),"")</f>
        <v/>
      </c>
      <c r="AC173" s="25" t="str">
        <f>iferror(average(EBITDA_MARGIN!AC56:AC59),"")</f>
        <v/>
      </c>
      <c r="AD173" s="12"/>
    </row>
    <row r="174">
      <c r="A174" s="15" t="s">
        <v>87</v>
      </c>
      <c r="B174" s="14" t="str">
        <f>iferror(average(EBITDA_MARGIN!B57:B60),"")</f>
        <v/>
      </c>
      <c r="C174" s="14">
        <f>iferror(average(EBITDA_MARGIN!C57:C60),"")</f>
        <v>0.3024701089</v>
      </c>
      <c r="D174" s="14">
        <f>iferror(average(EBITDA_MARGIN!D57:D60),"")</f>
        <v>0.202395542</v>
      </c>
      <c r="E174" s="14">
        <f>iferror(average(EBITDA_MARGIN!E57:E60),"")</f>
        <v>0.3817730296</v>
      </c>
      <c r="F174" s="14">
        <f>iferror(average(EBITDA_MARGIN!F57:F60),"")</f>
        <v>0.5016561939</v>
      </c>
      <c r="G174" s="14" t="str">
        <f>iferror(average(EBITDA_MARGIN!G57:G60),"")</f>
        <v/>
      </c>
      <c r="H174" s="14"/>
      <c r="I174" s="14" t="str">
        <f>iferror(average(EBITDA_MARGIN!I57:I60),"")</f>
        <v/>
      </c>
      <c r="J174" s="14">
        <f>iferror(average(EBITDA_MARGIN!J57:J60),"")</f>
        <v>0.04515426695</v>
      </c>
      <c r="K174" s="14"/>
      <c r="L174" s="14" t="str">
        <f>iferror(average(EBITDA_MARGIN!L57:L60),"")</f>
        <v/>
      </c>
      <c r="M174" s="14" t="str">
        <f>iferror(average(EBITDA_MARGIN!M57:M60),"")</f>
        <v/>
      </c>
      <c r="N174" s="14" t="str">
        <f>iferror(average(EBITDA_MARGIN!N57:N60),"")</f>
        <v/>
      </c>
      <c r="O174" s="14">
        <f>iferror(average(EBITDA_MARGIN!O57:O60),"")</f>
        <v>0.3135397511</v>
      </c>
      <c r="P174" s="14" t="str">
        <f>iferror(average(EBITDA_MARGIN!P57:P60),"")</f>
        <v/>
      </c>
      <c r="Q174" s="14" t="str">
        <f>iferror(average(EBITDA_MARGIN!Q57:Q60),"")</f>
        <v/>
      </c>
      <c r="R174" s="14"/>
      <c r="S174" s="14" t="str">
        <f>iferror(average(EBITDA_MARGIN!S57:S60),"")</f>
        <v/>
      </c>
      <c r="T174" s="14" t="str">
        <f>iferror(average(EBITDA_MARGIN!T57:T60),"")</f>
        <v/>
      </c>
      <c r="U174" s="14" t="str">
        <f>iferror(average(EBITDA_MARGIN!U57:U60),"")</f>
        <v/>
      </c>
      <c r="V174" s="14">
        <f>iferror(average(EBITDA_MARGIN!V57:V60),"")</f>
        <v>-0.05980827955</v>
      </c>
      <c r="W174" s="14" t="str">
        <f>iferror(average(EBITDA_MARGIN!W57:W60),"")</f>
        <v/>
      </c>
      <c r="X174" s="25">
        <f>iferror(average(EBITDA_MARGIN!X57:X60),"")</f>
        <v>0.1110507652</v>
      </c>
      <c r="Y174" s="25" t="str">
        <f>iferror(average(EBITDA_MARGIN!Y57:Y60),"")</f>
        <v/>
      </c>
      <c r="Z174" s="25" t="str">
        <f>iferror(average(EBITDA_MARGIN!Z57:Z60),"")</f>
        <v/>
      </c>
      <c r="AA174" s="25" t="str">
        <f>iferror(average(EBITDA_MARGIN!AA57:AA60),"")</f>
        <v/>
      </c>
      <c r="AB174" s="25" t="str">
        <f>iferror(average(EBITDA_MARGIN!AB57:AB60),"")</f>
        <v/>
      </c>
      <c r="AC174" s="25" t="str">
        <f>iferror(average(EBITDA_MARGIN!AC57:AC60),"")</f>
        <v/>
      </c>
      <c r="AD174" s="12"/>
    </row>
    <row r="175">
      <c r="A175" s="15" t="s">
        <v>88</v>
      </c>
      <c r="B175" s="14" t="str">
        <f>iferror(average(EBITDA_MARGIN!B58:B61),"")</f>
        <v/>
      </c>
      <c r="C175" s="14">
        <f>iferror(average(EBITDA_MARGIN!C58:C61),"")</f>
        <v>0.3180022811</v>
      </c>
      <c r="D175" s="14">
        <f>iferror(average(EBITDA_MARGIN!D58:D61),"")</f>
        <v>0.1962102804</v>
      </c>
      <c r="E175" s="14">
        <f>iferror(average(EBITDA_MARGIN!E58:E61),"")</f>
        <v>0.3669922237</v>
      </c>
      <c r="F175" s="14">
        <f>iferror(average(EBITDA_MARGIN!F58:F61),"")</f>
        <v>0.4906583806</v>
      </c>
      <c r="G175" s="14" t="str">
        <f>iferror(average(EBITDA_MARGIN!G58:G61),"")</f>
        <v/>
      </c>
      <c r="H175" s="14"/>
      <c r="I175" s="14" t="str">
        <f>iferror(average(EBITDA_MARGIN!I58:I61),"")</f>
        <v/>
      </c>
      <c r="J175" s="14">
        <f>iferror(average(EBITDA_MARGIN!J58:J61),"")</f>
        <v>0.04174413816</v>
      </c>
      <c r="K175" s="14"/>
      <c r="L175" s="14" t="str">
        <f>iferror(average(EBITDA_MARGIN!L58:L61),"")</f>
        <v/>
      </c>
      <c r="M175" s="14" t="str">
        <f>iferror(average(EBITDA_MARGIN!M58:M61),"")</f>
        <v/>
      </c>
      <c r="N175" s="14" t="str">
        <f>iferror(average(EBITDA_MARGIN!N58:N61),"")</f>
        <v/>
      </c>
      <c r="O175" s="14">
        <f>iferror(average(EBITDA_MARGIN!O58:O61),"")</f>
        <v>0.3141534521</v>
      </c>
      <c r="P175" s="14" t="str">
        <f>iferror(average(EBITDA_MARGIN!P58:P61),"")</f>
        <v/>
      </c>
      <c r="Q175" s="14" t="str">
        <f>iferror(average(EBITDA_MARGIN!Q58:Q61),"")</f>
        <v/>
      </c>
      <c r="R175" s="14"/>
      <c r="S175" s="14" t="str">
        <f>iferror(average(EBITDA_MARGIN!S58:S61),"")</f>
        <v/>
      </c>
      <c r="T175" s="14" t="str">
        <f>iferror(average(EBITDA_MARGIN!T58:T61),"")</f>
        <v/>
      </c>
      <c r="U175" s="14" t="str">
        <f>iferror(average(EBITDA_MARGIN!U58:U61),"")</f>
        <v/>
      </c>
      <c r="V175" s="14">
        <f>iferror(average(EBITDA_MARGIN!V58:V61),"")</f>
        <v>-0.05284313972</v>
      </c>
      <c r="W175" s="14" t="str">
        <f>iferror(average(EBITDA_MARGIN!W58:W61),"")</f>
        <v/>
      </c>
      <c r="X175" s="25">
        <f>iferror(average(EBITDA_MARGIN!X58:X61),"")</f>
        <v>0.1257973661</v>
      </c>
      <c r="Y175" s="25" t="str">
        <f>iferror(average(EBITDA_MARGIN!Y58:Y61),"")</f>
        <v/>
      </c>
      <c r="Z175" s="25" t="str">
        <f>iferror(average(EBITDA_MARGIN!Z58:Z61),"")</f>
        <v/>
      </c>
      <c r="AA175" s="25" t="str">
        <f>iferror(average(EBITDA_MARGIN!AA58:AA61),"")</f>
        <v/>
      </c>
      <c r="AB175" s="25" t="str">
        <f>iferror(average(EBITDA_MARGIN!AB58:AB61),"")</f>
        <v/>
      </c>
      <c r="AC175" s="25" t="str">
        <f>iferror(average(EBITDA_MARGIN!AC58:AC61),"")</f>
        <v/>
      </c>
      <c r="AD175" s="12"/>
    </row>
    <row r="176">
      <c r="A176" s="15" t="s">
        <v>89</v>
      </c>
      <c r="B176" s="14" t="str">
        <f>iferror(average(EBITDA_MARGIN!B59:B62),"")</f>
        <v/>
      </c>
      <c r="C176" s="14">
        <f>iferror(average(EBITDA_MARGIN!C59:C62),"")</f>
        <v>0.3335344533</v>
      </c>
      <c r="D176" s="14">
        <f>iferror(average(EBITDA_MARGIN!D59:D62),"")</f>
        <v>0.1900250188</v>
      </c>
      <c r="E176" s="14">
        <f>iferror(average(EBITDA_MARGIN!E59:E62),"")</f>
        <v>0.3522114178</v>
      </c>
      <c r="F176" s="14">
        <f>iferror(average(EBITDA_MARGIN!F59:F62),"")</f>
        <v>0.4796605673</v>
      </c>
      <c r="G176" s="14" t="str">
        <f>iferror(average(EBITDA_MARGIN!G59:G62),"")</f>
        <v/>
      </c>
      <c r="H176" s="14"/>
      <c r="I176" s="14" t="str">
        <f>iferror(average(EBITDA_MARGIN!I59:I62),"")</f>
        <v/>
      </c>
      <c r="J176" s="14">
        <f>iferror(average(EBITDA_MARGIN!J59:J62),"")</f>
        <v>0.03833400937</v>
      </c>
      <c r="K176" s="14"/>
      <c r="L176" s="14" t="str">
        <f>iferror(average(EBITDA_MARGIN!L59:L62),"")</f>
        <v/>
      </c>
      <c r="M176" s="14" t="str">
        <f>iferror(average(EBITDA_MARGIN!M59:M62),"")</f>
        <v/>
      </c>
      <c r="N176" s="14" t="str">
        <f>iferror(average(EBITDA_MARGIN!N59:N62),"")</f>
        <v/>
      </c>
      <c r="O176" s="14">
        <f>iferror(average(EBITDA_MARGIN!O59:O62),"")</f>
        <v>0.3147671531</v>
      </c>
      <c r="P176" s="14" t="str">
        <f>iferror(average(EBITDA_MARGIN!P59:P62),"")</f>
        <v/>
      </c>
      <c r="Q176" s="14" t="str">
        <f>iferror(average(EBITDA_MARGIN!Q59:Q62),"")</f>
        <v/>
      </c>
      <c r="R176" s="14"/>
      <c r="S176" s="14" t="str">
        <f>iferror(average(EBITDA_MARGIN!S59:S62),"")</f>
        <v/>
      </c>
      <c r="T176" s="14" t="str">
        <f>iferror(average(EBITDA_MARGIN!T59:T62),"")</f>
        <v/>
      </c>
      <c r="U176" s="14" t="str">
        <f>iferror(average(EBITDA_MARGIN!U59:U62),"")</f>
        <v/>
      </c>
      <c r="V176" s="14">
        <f>iferror(average(EBITDA_MARGIN!V59:V62),"")</f>
        <v>-0.04587799989</v>
      </c>
      <c r="W176" s="14" t="str">
        <f>iferror(average(EBITDA_MARGIN!W59:W62),"")</f>
        <v/>
      </c>
      <c r="X176" s="25">
        <f>iferror(average(EBITDA_MARGIN!X59:X62),"")</f>
        <v>0.1405439671</v>
      </c>
      <c r="Y176" s="25" t="str">
        <f>iferror(average(EBITDA_MARGIN!Y59:Y62),"")</f>
        <v/>
      </c>
      <c r="Z176" s="25" t="str">
        <f>iferror(average(EBITDA_MARGIN!Z59:Z62),"")</f>
        <v/>
      </c>
      <c r="AA176" s="25" t="str">
        <f>iferror(average(EBITDA_MARGIN!AA59:AA62),"")</f>
        <v/>
      </c>
      <c r="AB176" s="25" t="str">
        <f>iferror(average(EBITDA_MARGIN!AB59:AB62),"")</f>
        <v/>
      </c>
      <c r="AC176" s="25" t="str">
        <f>iferror(average(EBITDA_MARGIN!AC59:AC62),"")</f>
        <v/>
      </c>
      <c r="AD176" s="12"/>
    </row>
    <row r="177">
      <c r="A177" s="15" t="s">
        <v>90</v>
      </c>
      <c r="B177" s="14" t="str">
        <f>iferror(average(EBITDA_MARGIN!B60:B63),"")</f>
        <v/>
      </c>
      <c r="C177" s="14">
        <f>iferror(average(EBITDA_MARGIN!C60:C63),"")</f>
        <v>0.340197877</v>
      </c>
      <c r="D177" s="14">
        <f>iferror(average(EBITDA_MARGIN!D60:D63),"")</f>
        <v>0.1887121191</v>
      </c>
      <c r="E177" s="14">
        <f>iferror(average(EBITDA_MARGIN!E60:E63),"")</f>
        <v>0.3156787296</v>
      </c>
      <c r="F177" s="14">
        <f>iferror(average(EBITDA_MARGIN!F60:F63),"")</f>
        <v>0.4652500126</v>
      </c>
      <c r="G177" s="14" t="str">
        <f>iferror(average(EBITDA_MARGIN!G60:G63),"")</f>
        <v/>
      </c>
      <c r="H177" s="14">
        <f>iferror(average(EBITDA_MARGIN!H60:H63),"")</f>
        <v>0.2123570757</v>
      </c>
      <c r="I177" s="14" t="str">
        <f>iferror(average(EBITDA_MARGIN!I60:I63),"")</f>
        <v/>
      </c>
      <c r="J177" s="14">
        <f>iferror(average(EBITDA_MARGIN!J60:J63),"")</f>
        <v>0.03492388059</v>
      </c>
      <c r="K177" s="14"/>
      <c r="L177" s="14" t="str">
        <f>iferror(average(EBITDA_MARGIN!L60:L63),"")</f>
        <v/>
      </c>
      <c r="M177" s="14" t="str">
        <f>iferror(average(EBITDA_MARGIN!M60:M63),"")</f>
        <v/>
      </c>
      <c r="N177" s="14" t="str">
        <f>iferror(average(EBITDA_MARGIN!N60:N63),"")</f>
        <v/>
      </c>
      <c r="O177" s="14">
        <f>iferror(average(EBITDA_MARGIN!O60:O63),"")</f>
        <v>0.3153808541</v>
      </c>
      <c r="P177" s="14" t="str">
        <f>iferror(average(EBITDA_MARGIN!P60:P63),"")</f>
        <v/>
      </c>
      <c r="Q177" s="14" t="str">
        <f>iferror(average(EBITDA_MARGIN!Q60:Q63),"")</f>
        <v/>
      </c>
      <c r="R177" s="14"/>
      <c r="S177" s="14"/>
      <c r="T177" s="14" t="str">
        <f>iferror(average(EBITDA_MARGIN!T60:T63),"")</f>
        <v/>
      </c>
      <c r="U177" s="14" t="str">
        <f>iferror(average(EBITDA_MARGIN!U60:U63),"")</f>
        <v/>
      </c>
      <c r="V177" s="14">
        <f>iferror(average(EBITDA_MARGIN!V60:V63),"")</f>
        <v>-0.1302503507</v>
      </c>
      <c r="W177" s="14" t="str">
        <f>iferror(average(EBITDA_MARGIN!W60:W63),"")</f>
        <v/>
      </c>
      <c r="X177" s="25">
        <f>iferror(average(EBITDA_MARGIN!X60:X63),"")</f>
        <v>0.155290568</v>
      </c>
      <c r="Y177" s="25" t="str">
        <f>iferror(average(EBITDA_MARGIN!Y60:Y63),"")</f>
        <v/>
      </c>
      <c r="Z177" s="25" t="str">
        <f>iferror(average(EBITDA_MARGIN!Z60:Z63),"")</f>
        <v/>
      </c>
      <c r="AA177" s="25" t="str">
        <f>iferror(average(EBITDA_MARGIN!AA60:AA63),"")</f>
        <v/>
      </c>
      <c r="AB177" s="25" t="str">
        <f>iferror(average(EBITDA_MARGIN!AB60:AB63),"")</f>
        <v/>
      </c>
      <c r="AC177" s="25" t="str">
        <f>iferror(average(EBITDA_MARGIN!AC60:AC63),"")</f>
        <v/>
      </c>
      <c r="AD177" s="12"/>
    </row>
    <row r="178">
      <c r="A178" s="15" t="s">
        <v>91</v>
      </c>
      <c r="B178" s="14" t="str">
        <f>iferror(average(EBITDA_MARGIN!B61:B64),"")</f>
        <v/>
      </c>
      <c r="C178" s="14">
        <f>iferror(average(EBITDA_MARGIN!C61:C64),"")</f>
        <v>0.3468613008</v>
      </c>
      <c r="D178" s="14">
        <f>iferror(average(EBITDA_MARGIN!D61:D64),"")</f>
        <v>0.1873992195</v>
      </c>
      <c r="E178" s="14">
        <f>iferror(average(EBITDA_MARGIN!E61:E64),"")</f>
        <v>0.2791460414</v>
      </c>
      <c r="F178" s="14">
        <f>iferror(average(EBITDA_MARGIN!F61:F64),"")</f>
        <v>0.450839458</v>
      </c>
      <c r="G178" s="14" t="str">
        <f>iferror(average(EBITDA_MARGIN!G61:G64),"")</f>
        <v/>
      </c>
      <c r="H178" s="14">
        <f>iferror(average(EBITDA_MARGIN!H61:H64),"")</f>
        <v>0.2116097489</v>
      </c>
      <c r="I178" s="14" t="str">
        <f>iferror(average(EBITDA_MARGIN!I61:I64),"")</f>
        <v/>
      </c>
      <c r="J178" s="14">
        <f>iferror(average(EBITDA_MARGIN!J61:J64),"")</f>
        <v>0.01063605839</v>
      </c>
      <c r="K178" s="14"/>
      <c r="L178" s="14" t="str">
        <f>iferror(average(EBITDA_MARGIN!L61:L64),"")</f>
        <v/>
      </c>
      <c r="M178" s="14" t="str">
        <f>iferror(average(EBITDA_MARGIN!M61:M64),"")</f>
        <v/>
      </c>
      <c r="N178" s="14" t="str">
        <f>iferror(average(EBITDA_MARGIN!N61:N64),"")</f>
        <v/>
      </c>
      <c r="O178" s="14">
        <f>iferror(average(EBITDA_MARGIN!O61:O64),"")</f>
        <v>0.315994555</v>
      </c>
      <c r="P178" s="14" t="str">
        <f>iferror(average(EBITDA_MARGIN!P61:P64),"")</f>
        <v/>
      </c>
      <c r="Q178" s="14" t="str">
        <f>iferror(average(EBITDA_MARGIN!Q61:Q64),"")</f>
        <v/>
      </c>
      <c r="R178" s="14"/>
      <c r="S178" s="14"/>
      <c r="T178" s="14" t="str">
        <f>iferror(average(EBITDA_MARGIN!T61:T64),"")</f>
        <v/>
      </c>
      <c r="U178" s="14" t="str">
        <f>iferror(average(EBITDA_MARGIN!U61:U64),"")</f>
        <v/>
      </c>
      <c r="V178" s="14">
        <f>iferror(average(EBITDA_MARGIN!V61:V64),"")</f>
        <v>-0.2146227015</v>
      </c>
      <c r="W178" s="14" t="str">
        <f>iferror(average(EBITDA_MARGIN!W61:W64),"")</f>
        <v/>
      </c>
      <c r="X178" s="25">
        <f>iferror(average(EBITDA_MARGIN!X61:X64),"")</f>
        <v>0.1700371689</v>
      </c>
      <c r="Y178" s="25" t="str">
        <f>iferror(average(EBITDA_MARGIN!Y61:Y64),"")</f>
        <v/>
      </c>
      <c r="Z178" s="25" t="str">
        <f>iferror(average(EBITDA_MARGIN!Z61:Z64),"")</f>
        <v/>
      </c>
      <c r="AA178" s="25" t="str">
        <f>iferror(average(EBITDA_MARGIN!AA61:AA64),"")</f>
        <v/>
      </c>
      <c r="AB178" s="25" t="str">
        <f>iferror(average(EBITDA_MARGIN!AB61:AB64),"")</f>
        <v/>
      </c>
      <c r="AC178" s="25" t="str">
        <f>iferror(average(EBITDA_MARGIN!AC61:AC64),"")</f>
        <v/>
      </c>
      <c r="AD178" s="12"/>
    </row>
    <row r="179">
      <c r="A179" s="15" t="s">
        <v>92</v>
      </c>
      <c r="B179" s="14" t="str">
        <f>iferror(average(EBITDA_MARGIN!B62:B65),"")</f>
        <v/>
      </c>
      <c r="C179" s="14">
        <f>iferror(average(EBITDA_MARGIN!C62:C65),"")</f>
        <v>0.3535247246</v>
      </c>
      <c r="D179" s="14">
        <f>iferror(average(EBITDA_MARGIN!D62:D65),"")</f>
        <v>0.1860863199</v>
      </c>
      <c r="E179" s="14">
        <f>iferror(average(EBITDA_MARGIN!E62:E65),"")</f>
        <v>0.2426133532</v>
      </c>
      <c r="F179" s="14">
        <f>iferror(average(EBITDA_MARGIN!F62:F65),"")</f>
        <v>0.4364289033</v>
      </c>
      <c r="G179" s="14" t="str">
        <f>iferror(average(EBITDA_MARGIN!G62:G65),"")</f>
        <v/>
      </c>
      <c r="H179" s="14">
        <f>iferror(average(EBITDA_MARGIN!H62:H65),"")</f>
        <v>0.2108624221</v>
      </c>
      <c r="I179" s="14" t="str">
        <f>iferror(average(EBITDA_MARGIN!I62:I65),"")</f>
        <v/>
      </c>
      <c r="J179" s="14">
        <f>iferror(average(EBITDA_MARGIN!J62:J65),"")</f>
        <v>-0.01365176381</v>
      </c>
      <c r="K179" s="14"/>
      <c r="L179" s="14" t="str">
        <f>iferror(average(EBITDA_MARGIN!L62:L65),"")</f>
        <v/>
      </c>
      <c r="M179" s="14" t="str">
        <f>iferror(average(EBITDA_MARGIN!M62:M65),"")</f>
        <v/>
      </c>
      <c r="N179" s="14" t="str">
        <f>iferror(average(EBITDA_MARGIN!N62:N65),"")</f>
        <v/>
      </c>
      <c r="O179" s="14">
        <f>iferror(average(EBITDA_MARGIN!O62:O65),"")</f>
        <v>0.2772633045</v>
      </c>
      <c r="P179" s="14" t="str">
        <f>iferror(average(EBITDA_MARGIN!P62:P65),"")</f>
        <v/>
      </c>
      <c r="Q179" s="14" t="str">
        <f>iferror(average(EBITDA_MARGIN!Q62:Q65),"")</f>
        <v/>
      </c>
      <c r="R179" s="14"/>
      <c r="S179" s="14"/>
      <c r="T179" s="17"/>
      <c r="U179" s="14" t="str">
        <f>iferror(average(EBITDA_MARGIN!U62:U65),"")</f>
        <v/>
      </c>
      <c r="V179" s="14">
        <f>iferror(average(EBITDA_MARGIN!V62:V65),"")</f>
        <v>-0.2989950522</v>
      </c>
      <c r="W179" s="14" t="str">
        <f>iferror(average(EBITDA_MARGIN!W62:W65),"")</f>
        <v/>
      </c>
      <c r="X179" s="25">
        <f>iferror(average(EBITDA_MARGIN!X62:X65),"")</f>
        <v>0.174351845</v>
      </c>
      <c r="Y179" s="25" t="str">
        <f>iferror(average(EBITDA_MARGIN!Y62:Y65),"")</f>
        <v/>
      </c>
      <c r="Z179" s="25" t="str">
        <f>iferror(average(EBITDA_MARGIN!Z62:Z65),"")</f>
        <v/>
      </c>
      <c r="AA179" s="25" t="str">
        <f>iferror(average(EBITDA_MARGIN!AA62:AA65),"")</f>
        <v/>
      </c>
      <c r="AB179" s="25" t="str">
        <f>iferror(average(EBITDA_MARGIN!AB62:AB65),"")</f>
        <v/>
      </c>
      <c r="AC179" s="25" t="str">
        <f>iferror(average(EBITDA_MARGIN!AC62:AC65),"")</f>
        <v/>
      </c>
      <c r="AD179" s="12"/>
    </row>
    <row r="180">
      <c r="A180" s="15" t="s">
        <v>93</v>
      </c>
      <c r="B180" s="14" t="str">
        <f>iferror(average(EBITDA_MARGIN!B63:B66),"")</f>
        <v/>
      </c>
      <c r="C180" s="14">
        <f>iferror(average(EBITDA_MARGIN!C63:C66),"")</f>
        <v>0.3601881483</v>
      </c>
      <c r="D180" s="14">
        <f>iferror(average(EBITDA_MARGIN!D63:D66),"")</f>
        <v>0.1847734203</v>
      </c>
      <c r="E180" s="14">
        <f>iferror(average(EBITDA_MARGIN!E63:E66),"")</f>
        <v>0.2060806649</v>
      </c>
      <c r="F180" s="14">
        <f>iferror(average(EBITDA_MARGIN!F63:F66),"")</f>
        <v>0.4220183486</v>
      </c>
      <c r="G180" s="14" t="str">
        <f>iferror(average(EBITDA_MARGIN!G63:G66),"")</f>
        <v/>
      </c>
      <c r="H180" s="14">
        <f>iferror(average(EBITDA_MARGIN!H63:H66),"")</f>
        <v>0.2101150953</v>
      </c>
      <c r="I180" s="14" t="str">
        <f>iferror(average(EBITDA_MARGIN!I63:I66),"")</f>
        <v/>
      </c>
      <c r="J180" s="14">
        <f>iferror(average(EBITDA_MARGIN!J63:J66),"")</f>
        <v>-0.03793958601</v>
      </c>
      <c r="K180" s="14"/>
      <c r="L180" s="14" t="str">
        <f>iferror(average(EBITDA_MARGIN!L63:L66),"")</f>
        <v/>
      </c>
      <c r="M180" s="14" t="str">
        <f>iferror(average(EBITDA_MARGIN!M63:M66),"")</f>
        <v/>
      </c>
      <c r="N180" s="14" t="str">
        <f>iferror(average(EBITDA_MARGIN!N63:N66),"")</f>
        <v/>
      </c>
      <c r="O180" s="14">
        <f>iferror(average(EBITDA_MARGIN!O63:O66),"")</f>
        <v>0.2385320539</v>
      </c>
      <c r="P180" s="14" t="str">
        <f>iferror(average(EBITDA_MARGIN!P63:P66),"")</f>
        <v/>
      </c>
      <c r="Q180" s="14" t="str">
        <f>iferror(average(EBITDA_MARGIN!Q63:Q66),"")</f>
        <v/>
      </c>
      <c r="R180" s="14"/>
      <c r="S180" s="14">
        <f>iferror(average(EBITDA_MARGIN!S63:S66),"")</f>
        <v>0.1508370293</v>
      </c>
      <c r="T180" s="14" t="str">
        <f>iferror(average(EBITDA_MARGIN!T63:T66),"")</f>
        <v/>
      </c>
      <c r="U180" s="14" t="str">
        <f>iferror(average(EBITDA_MARGIN!U63:U66),"")</f>
        <v/>
      </c>
      <c r="V180" s="14">
        <f>iferror(average(EBITDA_MARGIN!V63:V66),"")</f>
        <v>-0.383367403</v>
      </c>
      <c r="W180" s="14" t="str">
        <f>iferror(average(EBITDA_MARGIN!W63:W66),"")</f>
        <v/>
      </c>
      <c r="X180" s="25">
        <f>iferror(average(EBITDA_MARGIN!X63:X66),"")</f>
        <v>0.178666521</v>
      </c>
      <c r="Y180" s="25" t="str">
        <f>iferror(average(EBITDA_MARGIN!Y63:Y66),"")</f>
        <v/>
      </c>
      <c r="Z180" s="25" t="str">
        <f>iferror(average(EBITDA_MARGIN!Z63:Z66),"")</f>
        <v/>
      </c>
      <c r="AA180" s="25" t="str">
        <f>iferror(average(EBITDA_MARGIN!AA63:AA66),"")</f>
        <v/>
      </c>
      <c r="AB180" s="25" t="str">
        <f>iferror(average(EBITDA_MARGIN!AB63:AB66),"")</f>
        <v/>
      </c>
      <c r="AC180" s="25" t="str">
        <f>iferror(average(EBITDA_MARGIN!AC63:AC66),"")</f>
        <v/>
      </c>
      <c r="AD180" s="12"/>
    </row>
    <row r="181">
      <c r="A181" s="15" t="s">
        <v>94</v>
      </c>
      <c r="B181" s="14" t="str">
        <f>iferror(average(EBITDA_MARGIN!B64:B67),"")</f>
        <v/>
      </c>
      <c r="C181" s="14">
        <f>iferror(average(EBITDA_MARGIN!C64:C67),"")</f>
        <v>0.3632617877</v>
      </c>
      <c r="D181" s="14">
        <f>iferror(average(EBITDA_MARGIN!D64:D67),"")</f>
        <v>0.1801794627</v>
      </c>
      <c r="E181" s="14">
        <f>iferror(average(EBITDA_MARGIN!E64:E67),"")</f>
        <v>0.2051294652</v>
      </c>
      <c r="F181" s="14">
        <f>iferror(average(EBITDA_MARGIN!F64:F67),"")</f>
        <v>0.4038153488</v>
      </c>
      <c r="G181" s="14" t="str">
        <f>iferror(average(EBITDA_MARGIN!G64:G67),"")</f>
        <v/>
      </c>
      <c r="H181" s="14">
        <f>iferror(average(EBITDA_MARGIN!H64:H67),"")</f>
        <v>0.2093677685</v>
      </c>
      <c r="I181" s="14" t="str">
        <f>iferror(average(EBITDA_MARGIN!I64:I67),"")</f>
        <v/>
      </c>
      <c r="J181" s="14">
        <f>iferror(average(EBITDA_MARGIN!J64:J67),"")</f>
        <v>-0.0622274082</v>
      </c>
      <c r="K181" s="14"/>
      <c r="L181" s="14" t="str">
        <f>iferror(average(EBITDA_MARGIN!L64:L67),"")</f>
        <v/>
      </c>
      <c r="M181" s="14" t="str">
        <f>iferror(average(EBITDA_MARGIN!M64:M67),"")</f>
        <v/>
      </c>
      <c r="N181" s="14" t="str">
        <f>iferror(average(EBITDA_MARGIN!N64:N67),"")</f>
        <v/>
      </c>
      <c r="O181" s="14">
        <f>iferror(average(EBITDA_MARGIN!O64:O67),"")</f>
        <v>0.1998008033</v>
      </c>
      <c r="P181" s="14" t="str">
        <f>iferror(average(EBITDA_MARGIN!P64:P67),"")</f>
        <v/>
      </c>
      <c r="Q181" s="14" t="str">
        <f>iferror(average(EBITDA_MARGIN!Q64:Q67),"")</f>
        <v/>
      </c>
      <c r="R181" s="14"/>
      <c r="S181" s="14">
        <f>iferror(average(EBITDA_MARGIN!S64:S67),"")</f>
        <v>0.1557512246</v>
      </c>
      <c r="T181" s="14" t="str">
        <f>iferror(average(EBITDA_MARGIN!T64:T67),"")</f>
        <v/>
      </c>
      <c r="U181" s="14" t="str">
        <f>iferror(average(EBITDA_MARGIN!U64:U67),"")</f>
        <v/>
      </c>
      <c r="V181" s="14">
        <f>iferror(average(EBITDA_MARGIN!V64:V67),"")</f>
        <v>-0.2875019396</v>
      </c>
      <c r="W181" s="14" t="str">
        <f>iferror(average(EBITDA_MARGIN!W64:W67),"")</f>
        <v/>
      </c>
      <c r="X181" s="25">
        <f>iferror(average(EBITDA_MARGIN!X64:X67),"")</f>
        <v>0.1829811971</v>
      </c>
      <c r="Y181" s="25" t="str">
        <f>iferror(average(EBITDA_MARGIN!Y64:Y67),"")</f>
        <v/>
      </c>
      <c r="Z181" s="25" t="str">
        <f>iferror(average(EBITDA_MARGIN!Z64:Z67),"")</f>
        <v/>
      </c>
      <c r="AA181" s="25" t="str">
        <f>iferror(average(EBITDA_MARGIN!AA64:AA67),"")</f>
        <v/>
      </c>
      <c r="AB181" s="25" t="str">
        <f>iferror(average(EBITDA_MARGIN!AB64:AB67),"")</f>
        <v/>
      </c>
      <c r="AC181" s="25" t="str">
        <f>iferror(average(EBITDA_MARGIN!AC64:AC67),"")</f>
        <v/>
      </c>
      <c r="AD181" s="12"/>
    </row>
    <row r="182">
      <c r="A182" s="15" t="s">
        <v>95</v>
      </c>
      <c r="B182" s="14" t="str">
        <f>iferror(average(EBITDA_MARGIN!B65:B68),"")</f>
        <v/>
      </c>
      <c r="C182" s="14">
        <f>iferror(average(EBITDA_MARGIN!C65:C68),"")</f>
        <v>0.366335427</v>
      </c>
      <c r="D182" s="14">
        <f>iferror(average(EBITDA_MARGIN!D65:D68),"")</f>
        <v>0.1755855052</v>
      </c>
      <c r="E182" s="14">
        <f>iferror(average(EBITDA_MARGIN!E65:E68),"")</f>
        <v>0.2041782655</v>
      </c>
      <c r="F182" s="14">
        <f>iferror(average(EBITDA_MARGIN!F65:F68),"")</f>
        <v>0.3856123489</v>
      </c>
      <c r="G182" s="14" t="str">
        <f>iferror(average(EBITDA_MARGIN!G65:G68),"")</f>
        <v/>
      </c>
      <c r="H182" s="14">
        <f>iferror(average(EBITDA_MARGIN!H65:H68),"")</f>
        <v>0.200502507</v>
      </c>
      <c r="I182" s="14" t="str">
        <f>iferror(average(EBITDA_MARGIN!I65:I68),"")</f>
        <v/>
      </c>
      <c r="J182" s="14">
        <f>iferror(average(EBITDA_MARGIN!J65:J68),"")</f>
        <v>-0.05613290749</v>
      </c>
      <c r="K182" s="14"/>
      <c r="L182" s="14" t="str">
        <f>iferror(average(EBITDA_MARGIN!L65:L68),"")</f>
        <v/>
      </c>
      <c r="M182" s="14" t="str">
        <f>iferror(average(EBITDA_MARGIN!M65:M68),"")</f>
        <v/>
      </c>
      <c r="N182" s="14" t="str">
        <f>iferror(average(EBITDA_MARGIN!N65:N68),"")</f>
        <v/>
      </c>
      <c r="O182" s="14">
        <f>iferror(average(EBITDA_MARGIN!O65:O68),"")</f>
        <v>0.1610695528</v>
      </c>
      <c r="P182" s="14" t="str">
        <f>iferror(average(EBITDA_MARGIN!P65:P68),"")</f>
        <v/>
      </c>
      <c r="Q182" s="14" t="str">
        <f>iferror(average(EBITDA_MARGIN!Q65:Q68),"")</f>
        <v/>
      </c>
      <c r="R182" s="14"/>
      <c r="S182" s="14">
        <f>iferror(average(EBITDA_MARGIN!S65:S68),"")</f>
        <v>0.1606654199</v>
      </c>
      <c r="T182" s="14" t="str">
        <f>iferror(average(EBITDA_MARGIN!T65:T68),"")</f>
        <v/>
      </c>
      <c r="U182" s="14" t="str">
        <f>iferror(average(EBITDA_MARGIN!U65:U68),"")</f>
        <v/>
      </c>
      <c r="V182" s="14">
        <f>iferror(average(EBITDA_MARGIN!V65:V68),"")</f>
        <v>-0.1916364762</v>
      </c>
      <c r="W182" s="14" t="str">
        <f>iferror(average(EBITDA_MARGIN!W65:W68),"")</f>
        <v/>
      </c>
      <c r="X182" s="25">
        <f>iferror(average(EBITDA_MARGIN!X65:X68),"")</f>
        <v>0.1872958731</v>
      </c>
      <c r="Y182" s="25" t="str">
        <f>iferror(average(EBITDA_MARGIN!Y65:Y68),"")</f>
        <v/>
      </c>
      <c r="Z182" s="25" t="str">
        <f>iferror(average(EBITDA_MARGIN!Z65:Z68),"")</f>
        <v/>
      </c>
      <c r="AA182" s="25" t="str">
        <f>iferror(average(EBITDA_MARGIN!AA65:AA68),"")</f>
        <v/>
      </c>
      <c r="AB182" s="25" t="str">
        <f>iferror(average(EBITDA_MARGIN!AB65:AB68),"")</f>
        <v/>
      </c>
      <c r="AC182" s="25" t="str">
        <f>iferror(average(EBITDA_MARGIN!AC65:AC68),"")</f>
        <v/>
      </c>
      <c r="AD182" s="12"/>
    </row>
    <row r="183">
      <c r="A183" s="15" t="s">
        <v>96</v>
      </c>
      <c r="B183" s="14" t="str">
        <f>iferror(average(EBITDA_MARGIN!B66:B69),"")</f>
        <v/>
      </c>
      <c r="C183" s="14">
        <f>iferror(average(EBITDA_MARGIN!C66:C69),"")</f>
        <v>0.3694090664</v>
      </c>
      <c r="D183" s="14">
        <f>iferror(average(EBITDA_MARGIN!D66:D69),"")</f>
        <v>0.1709915477</v>
      </c>
      <c r="E183" s="14">
        <f>iferror(average(EBITDA_MARGIN!E66:E69),"")</f>
        <v>0.2032270657</v>
      </c>
      <c r="F183" s="14">
        <f>iferror(average(EBITDA_MARGIN!F66:F69),"")</f>
        <v>0.3674093491</v>
      </c>
      <c r="G183" s="14" t="str">
        <f>iferror(average(EBITDA_MARGIN!G66:G69),"")</f>
        <v/>
      </c>
      <c r="H183" s="14">
        <f>iferror(average(EBITDA_MARGIN!H66:H69),"")</f>
        <v>0.1916372456</v>
      </c>
      <c r="I183" s="14" t="str">
        <f>iferror(average(EBITDA_MARGIN!I66:I69),"")</f>
        <v/>
      </c>
      <c r="J183" s="14">
        <f>iferror(average(EBITDA_MARGIN!J66:J69),"")</f>
        <v>-0.05003840678</v>
      </c>
      <c r="K183" s="14"/>
      <c r="L183" s="14" t="str">
        <f>iferror(average(EBITDA_MARGIN!L66:L69),"")</f>
        <v/>
      </c>
      <c r="M183" s="14" t="str">
        <f>iferror(average(EBITDA_MARGIN!M66:M69),"")</f>
        <v/>
      </c>
      <c r="N183" s="14" t="str">
        <f>iferror(average(EBITDA_MARGIN!N66:N69),"")</f>
        <v/>
      </c>
      <c r="O183" s="14">
        <f>iferror(average(EBITDA_MARGIN!O66:O69),"")</f>
        <v>0.1813792015</v>
      </c>
      <c r="P183" s="14" t="str">
        <f>iferror(average(EBITDA_MARGIN!P66:P69),"")</f>
        <v/>
      </c>
      <c r="Q183" s="14" t="str">
        <f>iferror(average(EBITDA_MARGIN!Q66:Q69),"")</f>
        <v/>
      </c>
      <c r="R183" s="14"/>
      <c r="S183" s="14">
        <f>iferror(average(EBITDA_MARGIN!S66:S69),"")</f>
        <v>0.1655796152</v>
      </c>
      <c r="T183" s="14" t="str">
        <f>iferror(average(EBITDA_MARGIN!T66:T69),"")</f>
        <v/>
      </c>
      <c r="U183" s="14" t="str">
        <f>iferror(average(EBITDA_MARGIN!U66:U69),"")</f>
        <v/>
      </c>
      <c r="V183" s="14">
        <f>iferror(average(EBITDA_MARGIN!V66:V69),"")</f>
        <v>-0.09577101275</v>
      </c>
      <c r="W183" s="14" t="str">
        <f>iferror(average(EBITDA_MARGIN!W66:W69),"")</f>
        <v/>
      </c>
      <c r="X183" s="25">
        <f>iferror(average(EBITDA_MARGIN!X66:X69),"")</f>
        <v>0.182416025</v>
      </c>
      <c r="Y183" s="25" t="str">
        <f>iferror(average(EBITDA_MARGIN!Y66:Y69),"")</f>
        <v/>
      </c>
      <c r="Z183" s="25" t="str">
        <f>iferror(average(EBITDA_MARGIN!Z66:Z69),"")</f>
        <v/>
      </c>
      <c r="AA183" s="25" t="str">
        <f>iferror(average(EBITDA_MARGIN!AA66:AA69),"")</f>
        <v/>
      </c>
      <c r="AB183" s="25" t="str">
        <f>iferror(average(EBITDA_MARGIN!AB66:AB69),"")</f>
        <v/>
      </c>
      <c r="AC183" s="25" t="str">
        <f>iferror(average(EBITDA_MARGIN!AC66:AC69),"")</f>
        <v/>
      </c>
      <c r="AD183" s="12"/>
    </row>
    <row r="184">
      <c r="A184" s="15" t="s">
        <v>97</v>
      </c>
      <c r="B184" s="14" t="str">
        <f>iferror(average(EBITDA_MARGIN!B67:B70),"")</f>
        <v/>
      </c>
      <c r="C184" s="14">
        <f>iferror(average(EBITDA_MARGIN!C67:C70),"")</f>
        <v>0.3724827058</v>
      </c>
      <c r="D184" s="14">
        <f>iferror(average(EBITDA_MARGIN!D67:D70),"")</f>
        <v>0.1663975902</v>
      </c>
      <c r="E184" s="14">
        <f>iferror(average(EBITDA_MARGIN!E67:E70),"")</f>
        <v>0.202275866</v>
      </c>
      <c r="F184" s="14">
        <f>iferror(average(EBITDA_MARGIN!F67:F70),"")</f>
        <v>0.3492063492</v>
      </c>
      <c r="G184" s="14" t="str">
        <f>iferror(average(EBITDA_MARGIN!G67:G70),"")</f>
        <v/>
      </c>
      <c r="H184" s="14">
        <f>iferror(average(EBITDA_MARGIN!H67:H70),"")</f>
        <v>0.1827719842</v>
      </c>
      <c r="I184" s="14" t="str">
        <f>iferror(average(EBITDA_MARGIN!I67:I70),"")</f>
        <v/>
      </c>
      <c r="J184" s="14">
        <f>iferror(average(EBITDA_MARGIN!J67:J70),"")</f>
        <v>-0.04394390607</v>
      </c>
      <c r="K184" s="14"/>
      <c r="L184" s="14" t="str">
        <f>iferror(average(EBITDA_MARGIN!L67:L70),"")</f>
        <v/>
      </c>
      <c r="M184" s="14" t="str">
        <f>iferror(average(EBITDA_MARGIN!M67:M70),"")</f>
        <v/>
      </c>
      <c r="N184" s="14" t="str">
        <f>iferror(average(EBITDA_MARGIN!N67:N70),"")</f>
        <v/>
      </c>
      <c r="O184" s="14">
        <f>iferror(average(EBITDA_MARGIN!O67:O70),"")</f>
        <v>0.2016888502</v>
      </c>
      <c r="P184" s="14" t="str">
        <f>iferror(average(EBITDA_MARGIN!P67:P70),"")</f>
        <v/>
      </c>
      <c r="Q184" s="14" t="str">
        <f>iferror(average(EBITDA_MARGIN!Q67:Q70),"")</f>
        <v/>
      </c>
      <c r="R184" s="14"/>
      <c r="S184" s="14">
        <f>iferror(average(EBITDA_MARGIN!S67:S70),"")</f>
        <v>0.1704938104</v>
      </c>
      <c r="T184" s="14" t="str">
        <f>iferror(average(EBITDA_MARGIN!T67:T70),"")</f>
        <v/>
      </c>
      <c r="U184" s="14" t="str">
        <f>iferror(average(EBITDA_MARGIN!U67:U70),"")</f>
        <v/>
      </c>
      <c r="V184" s="14">
        <f>iferror(average(EBITDA_MARGIN!V67:V70),"")</f>
        <v>0.00009445066901</v>
      </c>
      <c r="W184" s="14" t="str">
        <f>iferror(average(EBITDA_MARGIN!W67:W70),"")</f>
        <v/>
      </c>
      <c r="X184" s="25">
        <f>iferror(average(EBITDA_MARGIN!X67:X70),"")</f>
        <v>0.1775361769</v>
      </c>
      <c r="Y184" s="25" t="str">
        <f>iferror(average(EBITDA_MARGIN!Y67:Y70),"")</f>
        <v/>
      </c>
      <c r="Z184" s="25" t="str">
        <f>iferror(average(EBITDA_MARGIN!Z67:Z70),"")</f>
        <v/>
      </c>
      <c r="AA184" s="25" t="str">
        <f>iferror(average(EBITDA_MARGIN!AA67:AA70),"")</f>
        <v/>
      </c>
      <c r="AB184" s="25" t="str">
        <f>iferror(average(EBITDA_MARGIN!AB67:AB70),"")</f>
        <v/>
      </c>
      <c r="AC184" s="25" t="str">
        <f>iferror(average(EBITDA_MARGIN!AC67:AC70),"")</f>
        <v/>
      </c>
      <c r="AD184" s="12"/>
    </row>
    <row r="185">
      <c r="A185" s="15" t="s">
        <v>98</v>
      </c>
      <c r="B185" s="14" t="str">
        <f>iferror(average(EBITDA_MARGIN!B68:B71),"")</f>
        <v/>
      </c>
      <c r="C185" s="14">
        <f>iferror(average(EBITDA_MARGIN!C68:C71),"")</f>
        <v>0.3765292667</v>
      </c>
      <c r="D185" s="14">
        <f>iferror(average(EBITDA_MARGIN!D68:D71),"")</f>
        <v>0.1651542012</v>
      </c>
      <c r="E185" s="14">
        <f>iferror(average(EBITDA_MARGIN!E68:E71),"")</f>
        <v>0.1527727601</v>
      </c>
      <c r="F185" s="14">
        <f>iferror(average(EBITDA_MARGIN!F68:F71),"")</f>
        <v>0.3439673622</v>
      </c>
      <c r="G185" s="14"/>
      <c r="H185" s="14">
        <f>iferror(average(EBITDA_MARGIN!H68:H71),"")</f>
        <v>0.1739067228</v>
      </c>
      <c r="I185" s="14" t="str">
        <f>iferror(average(EBITDA_MARGIN!I68:I71),"")</f>
        <v/>
      </c>
      <c r="J185" s="14">
        <f>iferror(average(EBITDA_MARGIN!J68:J71),"")</f>
        <v>-0.03784940536</v>
      </c>
      <c r="K185" s="14"/>
      <c r="L185" s="14" t="str">
        <f>iferror(average(EBITDA_MARGIN!L68:L71),"")</f>
        <v/>
      </c>
      <c r="M185" s="14" t="str">
        <f>iferror(average(EBITDA_MARGIN!M68:M71),"")</f>
        <v/>
      </c>
      <c r="N185" s="14" t="str">
        <f>iferror(average(EBITDA_MARGIN!N68:N71),"")</f>
        <v/>
      </c>
      <c r="O185" s="14">
        <f>iferror(average(EBITDA_MARGIN!O68:O71),"")</f>
        <v>0.2219984989</v>
      </c>
      <c r="P185" s="14" t="str">
        <f>iferror(average(EBITDA_MARGIN!P68:P71),"")</f>
        <v/>
      </c>
      <c r="Q185" s="14" t="str">
        <f>iferror(average(EBITDA_MARGIN!Q68:Q71),"")</f>
        <v/>
      </c>
      <c r="R185" s="14"/>
      <c r="S185" s="14">
        <f>iferror(average(EBITDA_MARGIN!S68:S71),"")</f>
        <v>0.168441756</v>
      </c>
      <c r="T185" s="14" t="str">
        <f>iferror(average(EBITDA_MARGIN!T68:T71),"")</f>
        <v/>
      </c>
      <c r="U185" s="14" t="str">
        <f>iferror(average(EBITDA_MARGIN!U68:U71),"")</f>
        <v/>
      </c>
      <c r="V185" s="14">
        <f>iferror(average(EBITDA_MARGIN!V68:V71),"")</f>
        <v>0.01202380617</v>
      </c>
      <c r="W185" s="14" t="str">
        <f>iferror(average(EBITDA_MARGIN!W68:W71),"")</f>
        <v/>
      </c>
      <c r="X185" s="25">
        <f>iferror(average(EBITDA_MARGIN!X68:X71),"")</f>
        <v>0.1726563288</v>
      </c>
      <c r="Y185" s="25">
        <f>iferror(average(EBITDA_MARGIN!Y68:Y71),"")</f>
        <v>0.1423151191</v>
      </c>
      <c r="Z185" s="25" t="str">
        <f>iferror(average(EBITDA_MARGIN!Z68:Z71),"")</f>
        <v/>
      </c>
      <c r="AA185" s="25">
        <f>iferror(average(EBITDA_MARGIN!AA68:AA71),"")</f>
        <v>0.05768314</v>
      </c>
      <c r="AB185" s="25" t="str">
        <f>iferror(average(EBITDA_MARGIN!AB68:AB71),"")</f>
        <v/>
      </c>
      <c r="AC185" s="25" t="str">
        <f>iferror(average(EBITDA_MARGIN!AC68:AC71),"")</f>
        <v/>
      </c>
      <c r="AD185" s="12"/>
    </row>
    <row r="186">
      <c r="A186" s="15" t="s">
        <v>99</v>
      </c>
      <c r="B186" s="14" t="str">
        <f>iferror(average(EBITDA_MARGIN!B69:B72),"")</f>
        <v/>
      </c>
      <c r="C186" s="14">
        <f>iferror(average(EBITDA_MARGIN!C69:C72),"")</f>
        <v>0.3805758276</v>
      </c>
      <c r="D186" s="14">
        <f>iferror(average(EBITDA_MARGIN!D69:D72),"")</f>
        <v>0.1639108122</v>
      </c>
      <c r="E186" s="14">
        <f>iferror(average(EBITDA_MARGIN!E69:E72),"")</f>
        <v>0.1032696541</v>
      </c>
      <c r="F186" s="14">
        <f>iferror(average(EBITDA_MARGIN!F69:F72),"")</f>
        <v>0.3387283752</v>
      </c>
      <c r="G186" s="14"/>
      <c r="H186" s="14">
        <f>iferror(average(EBITDA_MARGIN!H69:H72),"")</f>
        <v>0.3156737753</v>
      </c>
      <c r="I186" s="14" t="str">
        <f>iferror(average(EBITDA_MARGIN!I69:I72),"")</f>
        <v/>
      </c>
      <c r="J186" s="14">
        <f>iferror(average(EBITDA_MARGIN!J69:J72),"")</f>
        <v>-0.03378112753</v>
      </c>
      <c r="K186" s="14"/>
      <c r="L186" s="14" t="str">
        <f>iferror(average(EBITDA_MARGIN!L69:L72),"")</f>
        <v/>
      </c>
      <c r="M186" s="14" t="str">
        <f>iferror(average(EBITDA_MARGIN!M69:M72),"")</f>
        <v/>
      </c>
      <c r="N186" s="14" t="str">
        <f>iferror(average(EBITDA_MARGIN!N69:N72),"")</f>
        <v/>
      </c>
      <c r="O186" s="14">
        <f>iferror(average(EBITDA_MARGIN!O69:O72),"")</f>
        <v>0.2423081476</v>
      </c>
      <c r="P186" s="14" t="str">
        <f>iferror(average(EBITDA_MARGIN!P69:P72),"")</f>
        <v/>
      </c>
      <c r="Q186" s="14" t="str">
        <f>iferror(average(EBITDA_MARGIN!Q69:Q72),"")</f>
        <v/>
      </c>
      <c r="R186" s="14"/>
      <c r="S186" s="14">
        <f>iferror(average(EBITDA_MARGIN!S69:S72),"")</f>
        <v>0.1663897015</v>
      </c>
      <c r="T186" s="14" t="str">
        <f>iferror(average(EBITDA_MARGIN!T69:T72),"")</f>
        <v/>
      </c>
      <c r="U186" s="14" t="str">
        <f>iferror(average(EBITDA_MARGIN!U69:U72),"")</f>
        <v/>
      </c>
      <c r="V186" s="14">
        <f>iferror(average(EBITDA_MARGIN!V69:V72),"")</f>
        <v>0.02395316166</v>
      </c>
      <c r="W186" s="14" t="str">
        <f>iferror(average(EBITDA_MARGIN!W69:W72),"")</f>
        <v/>
      </c>
      <c r="X186" s="25">
        <f>iferror(average(EBITDA_MARGIN!X69:X72),"")</f>
        <v>0.1677764807</v>
      </c>
      <c r="Y186" s="25">
        <f>iferror(average(EBITDA_MARGIN!Y69:Y72),"")</f>
        <v>0.1423151191</v>
      </c>
      <c r="Z186" s="25" t="str">
        <f>iferror(average(EBITDA_MARGIN!Z69:Z72),"")</f>
        <v/>
      </c>
      <c r="AA186" s="25">
        <f>iferror(average(EBITDA_MARGIN!AA69:AA72),"")</f>
        <v>0.05768314</v>
      </c>
      <c r="AB186" s="25" t="str">
        <f>iferror(average(EBITDA_MARGIN!AB69:AB72),"")</f>
        <v/>
      </c>
      <c r="AC186" s="25" t="str">
        <f>iferror(average(EBITDA_MARGIN!AC69:AC72),"")</f>
        <v/>
      </c>
      <c r="AD186" s="12"/>
    </row>
    <row r="187">
      <c r="A187" s="15" t="s">
        <v>100</v>
      </c>
      <c r="B187" s="14" t="str">
        <f>iferror(average(EBITDA_MARGIN!B70:B73),"")</f>
        <v/>
      </c>
      <c r="C187" s="14">
        <f>iferror(average(EBITDA_MARGIN!C70:C73),"")</f>
        <v>0.3846223885</v>
      </c>
      <c r="D187" s="14">
        <f>iferror(average(EBITDA_MARGIN!D70:D73),"")</f>
        <v>0.1626674232</v>
      </c>
      <c r="E187" s="14">
        <f>iferror(average(EBITDA_MARGIN!E70:E73),"")</f>
        <v>0.05376654819</v>
      </c>
      <c r="F187" s="14">
        <f>iferror(average(EBITDA_MARGIN!F70:F73),"")</f>
        <v>0.3334893883</v>
      </c>
      <c r="G187" s="14"/>
      <c r="H187" s="14">
        <f>iferror(average(EBITDA_MARGIN!H70:H73),"")</f>
        <v>0.4574408279</v>
      </c>
      <c r="I187" s="14" t="str">
        <f>iferror(average(EBITDA_MARGIN!I70:I73),"")</f>
        <v/>
      </c>
      <c r="J187" s="14">
        <f>iferror(average(EBITDA_MARGIN!J70:J73),"")</f>
        <v>-0.0297128497</v>
      </c>
      <c r="K187" s="14"/>
      <c r="L187" s="14" t="str">
        <f>iferror(average(EBITDA_MARGIN!L70:L73),"")</f>
        <v/>
      </c>
      <c r="M187" s="14" t="str">
        <f>iferror(average(EBITDA_MARGIN!M70:M73),"")</f>
        <v/>
      </c>
      <c r="N187" s="14" t="str">
        <f>iferror(average(EBITDA_MARGIN!N70:N73),"")</f>
        <v/>
      </c>
      <c r="O187" s="14">
        <f>iferror(average(EBITDA_MARGIN!O70:O73),"")</f>
        <v>0.2435412351</v>
      </c>
      <c r="P187" s="14" t="str">
        <f>iferror(average(EBITDA_MARGIN!P70:P73),"")</f>
        <v/>
      </c>
      <c r="Q187" s="14" t="str">
        <f>iferror(average(EBITDA_MARGIN!Q70:Q73),"")</f>
        <v/>
      </c>
      <c r="R187" s="14"/>
      <c r="S187" s="14">
        <f>iferror(average(EBITDA_MARGIN!S70:S73),"")</f>
        <v>0.1643376471</v>
      </c>
      <c r="T187" s="14" t="str">
        <f>iferror(average(EBITDA_MARGIN!T70:T73),"")</f>
        <v/>
      </c>
      <c r="U187" s="14" t="str">
        <f>iferror(average(EBITDA_MARGIN!U70:U73),"")</f>
        <v/>
      </c>
      <c r="V187" s="14">
        <f>iferror(average(EBITDA_MARGIN!V70:V73),"")</f>
        <v>0.03588251716</v>
      </c>
      <c r="W187" s="14" t="str">
        <f>iferror(average(EBITDA_MARGIN!W70:W73),"")</f>
        <v/>
      </c>
      <c r="X187" s="25">
        <f>iferror(average(EBITDA_MARGIN!X70:X73),"")</f>
        <v>0.1841522247</v>
      </c>
      <c r="Y187" s="25">
        <f>iferror(average(EBITDA_MARGIN!Y70:Y73),"")</f>
        <v>0.1423151191</v>
      </c>
      <c r="Z187" s="25" t="str">
        <f>iferror(average(EBITDA_MARGIN!Z70:Z73),"")</f>
        <v/>
      </c>
      <c r="AA187" s="25">
        <f>iferror(average(EBITDA_MARGIN!AA70:AA73),"")</f>
        <v>0.05768314</v>
      </c>
      <c r="AB187" s="25" t="str">
        <f>iferror(average(EBITDA_MARGIN!AB70:AB73),"")</f>
        <v/>
      </c>
      <c r="AC187" s="25" t="str">
        <f>iferror(average(EBITDA_MARGIN!AC70:AC73),"")</f>
        <v/>
      </c>
      <c r="AD187" s="12"/>
    </row>
    <row r="188">
      <c r="A188" s="15" t="s">
        <v>101</v>
      </c>
      <c r="B188" s="14" t="str">
        <f>iferror(average(EBITDA_MARGIN!B71:B74),"")</f>
        <v/>
      </c>
      <c r="C188" s="14">
        <f>iferror(average(EBITDA_MARGIN!C71:C74),"")</f>
        <v>0.3886689495</v>
      </c>
      <c r="D188" s="14">
        <f>iferror(average(EBITDA_MARGIN!D71:D74),"")</f>
        <v>0.1614240342</v>
      </c>
      <c r="E188" s="14">
        <f>iferror(average(EBITDA_MARGIN!E71:E74),"")</f>
        <v>0.004263442253</v>
      </c>
      <c r="F188" s="14">
        <f>iferror(average(EBITDA_MARGIN!F71:F74),"")</f>
        <v>0.3282504013</v>
      </c>
      <c r="G188" s="14">
        <f>iferror(average(EBITDA_MARGIN!G71:G74),"")</f>
        <v>-0.000870699755</v>
      </c>
      <c r="H188" s="14">
        <f>iferror(average(EBITDA_MARGIN!H71:H74),"")</f>
        <v>0.5723697994</v>
      </c>
      <c r="I188" s="14" t="str">
        <f>iferror(average(EBITDA_MARGIN!I71:I74),"")</f>
        <v/>
      </c>
      <c r="J188" s="14">
        <f>iferror(average(EBITDA_MARGIN!J71:J74),"")</f>
        <v>-0.02564457186</v>
      </c>
      <c r="K188" s="14"/>
      <c r="L188" s="14" t="str">
        <f>iferror(average(EBITDA_MARGIN!L71:L74),"")</f>
        <v/>
      </c>
      <c r="M188" s="14" t="str">
        <f>iferror(average(EBITDA_MARGIN!M71:M74),"")</f>
        <v/>
      </c>
      <c r="N188" s="14" t="str">
        <f>iferror(average(EBITDA_MARGIN!N71:N74),"")</f>
        <v/>
      </c>
      <c r="O188" s="14">
        <f>iferror(average(EBITDA_MARGIN!O71:O74),"")</f>
        <v>0.2447743225</v>
      </c>
      <c r="P188" s="14" t="str">
        <f>iferror(average(EBITDA_MARGIN!P71:P74),"")</f>
        <v/>
      </c>
      <c r="Q188" s="14" t="str">
        <f>iferror(average(EBITDA_MARGIN!Q71:Q74),"")</f>
        <v/>
      </c>
      <c r="R188" s="14"/>
      <c r="S188" s="14">
        <f>iferror(average(EBITDA_MARGIN!S71:S74),"")</f>
        <v>0.1622855926</v>
      </c>
      <c r="T188" s="14" t="str">
        <f>iferror(average(EBITDA_MARGIN!T71:T74),"")</f>
        <v/>
      </c>
      <c r="U188" s="14" t="str">
        <f>iferror(average(EBITDA_MARGIN!U71:U74),"")</f>
        <v/>
      </c>
      <c r="V188" s="14">
        <f>iferror(average(EBITDA_MARGIN!V71:V74),"")</f>
        <v>0.04781187266</v>
      </c>
      <c r="W188" s="14" t="str">
        <f>iferror(average(EBITDA_MARGIN!W71:W74),"")</f>
        <v/>
      </c>
      <c r="X188" s="25">
        <f>iferror(average(EBITDA_MARGIN!X71:X74),"")</f>
        <v>0.2005279686</v>
      </c>
      <c r="Y188" s="25">
        <f>iferror(average(EBITDA_MARGIN!Y71:Y74),"")</f>
        <v>0.1423151191</v>
      </c>
      <c r="Z188" s="25" t="str">
        <f>iferror(average(EBITDA_MARGIN!Z71:Z74),"")</f>
        <v/>
      </c>
      <c r="AA188" s="25">
        <f>iferror(average(EBITDA_MARGIN!AA71:AA74),"")</f>
        <v>0.05768314</v>
      </c>
      <c r="AB188" s="25" t="str">
        <f>iferror(average(EBITDA_MARGIN!AB71:AB74),"")</f>
        <v/>
      </c>
      <c r="AC188" s="25" t="str">
        <f>iferror(average(EBITDA_MARGIN!AC71:AC74),"")</f>
        <v/>
      </c>
      <c r="AD188" s="12"/>
    </row>
    <row r="189">
      <c r="A189" s="15" t="s">
        <v>102</v>
      </c>
      <c r="B189" s="14"/>
      <c r="C189" s="14">
        <f>iferror(average(EBITDA_MARGIN!C72:C75),"")</f>
        <v>0.3872141464</v>
      </c>
      <c r="D189" s="14">
        <f>iferror(average(EBITDA_MARGIN!D72:D75),"")</f>
        <v>0.1553213068</v>
      </c>
      <c r="E189" s="14">
        <f>iferror(average(EBITDA_MARGIN!E72:E75),"")</f>
        <v>0.01919332017</v>
      </c>
      <c r="F189" s="14">
        <f>iferror(average(EBITDA_MARGIN!F72:F75),"")</f>
        <v>0.3006449055</v>
      </c>
      <c r="G189" s="14">
        <f>iferror(average(EBITDA_MARGIN!G72:G75),"")</f>
        <v>-0.008274308713</v>
      </c>
      <c r="H189" s="14">
        <f>iferror(average(EBITDA_MARGIN!H72:H75),"")</f>
        <v>0.6872987708</v>
      </c>
      <c r="I189" s="14"/>
      <c r="J189" s="14">
        <f>iferror(average(EBITDA_MARGIN!J72:J75),"")</f>
        <v>-0.02157629403</v>
      </c>
      <c r="K189" s="14"/>
      <c r="L189" s="14" t="str">
        <f>iferror(average(EBITDA_MARGIN!L72:L75),"")</f>
        <v/>
      </c>
      <c r="M189" s="14" t="str">
        <f>iferror(average(EBITDA_MARGIN!M72:M75),"")</f>
        <v/>
      </c>
      <c r="N189" s="14" t="str">
        <f>iferror(average(EBITDA_MARGIN!N72:N75),"")</f>
        <v/>
      </c>
      <c r="O189" s="14">
        <f>iferror(average(EBITDA_MARGIN!O72:O75),"")</f>
        <v>0.24600741</v>
      </c>
      <c r="P189" s="14" t="str">
        <f>iferror(average(EBITDA_MARGIN!P72:P75),"")</f>
        <v/>
      </c>
      <c r="Q189" s="14" t="str">
        <f>iferror(average(EBITDA_MARGIN!Q72:Q75),"")</f>
        <v/>
      </c>
      <c r="R189" s="14"/>
      <c r="S189" s="14">
        <f>iferror(average(EBITDA_MARGIN!S72:S75),"")</f>
        <v>0.1107728951</v>
      </c>
      <c r="T189" s="14" t="str">
        <f>iferror(average(EBITDA_MARGIN!T72:T75),"")</f>
        <v/>
      </c>
      <c r="U189" s="14" t="str">
        <f>iferror(average(EBITDA_MARGIN!U72:U75),"")</f>
        <v/>
      </c>
      <c r="V189" s="14">
        <f>iferror(average(EBITDA_MARGIN!V72:V75),"")</f>
        <v>0.04781187266</v>
      </c>
      <c r="W189" s="14" t="str">
        <f>iferror(average(EBITDA_MARGIN!W72:W75),"")</f>
        <v/>
      </c>
      <c r="X189" s="25">
        <f>iferror(average(EBITDA_MARGIN!X72:X75),"")</f>
        <v>0.2169037126</v>
      </c>
      <c r="Y189" s="25">
        <f>iferror(average(EBITDA_MARGIN!Y72:Y75),"")</f>
        <v>0.1317367941</v>
      </c>
      <c r="Z189" s="25">
        <f>iferror(average(EBITDA_MARGIN!Z72:Z75),"")</f>
        <v>0.3280318091</v>
      </c>
      <c r="AA189" s="25">
        <f>iferror(average(EBITDA_MARGIN!AA72:AA75),"")</f>
        <v>0.04908467495</v>
      </c>
      <c r="AB189" s="25" t="str">
        <f>iferror(average(EBITDA_MARGIN!AB72:AB75),"")</f>
        <v/>
      </c>
      <c r="AC189" s="25" t="str">
        <f>iferror(average(EBITDA_MARGIN!AC72:AC75),"")</f>
        <v/>
      </c>
      <c r="AD189" s="12"/>
    </row>
    <row r="190">
      <c r="A190" s="15" t="s">
        <v>103</v>
      </c>
      <c r="B190" s="14"/>
      <c r="C190" s="14">
        <f>iferror(average(EBITDA_MARGIN!C73:C76),"")</f>
        <v>0.3857593434</v>
      </c>
      <c r="D190" s="14">
        <f>iferror(average(EBITDA_MARGIN!D73:D76),"")</f>
        <v>0.1492185794</v>
      </c>
      <c r="E190" s="14">
        <f>iferror(average(EBITDA_MARGIN!E73:E76),"")</f>
        <v>0.03412319809</v>
      </c>
      <c r="F190" s="14">
        <f>iferror(average(EBITDA_MARGIN!F73:F76),"")</f>
        <v>0.2730394098</v>
      </c>
      <c r="G190" s="14">
        <f>iferror(average(EBITDA_MARGIN!G73:G76),"")</f>
        <v>-0.01567791767</v>
      </c>
      <c r="H190" s="14">
        <f>iferror(average(EBITDA_MARGIN!H73:H76),"")</f>
        <v>0.5486036823</v>
      </c>
      <c r="I190" s="14"/>
      <c r="J190" s="14">
        <f>iferror(average(EBITDA_MARGIN!J73:J76),"")</f>
        <v>-0.05736382186</v>
      </c>
      <c r="K190" s="14"/>
      <c r="L190" s="14" t="str">
        <f>iferror(average(EBITDA_MARGIN!L73:L76),"")</f>
        <v/>
      </c>
      <c r="M190" s="14" t="str">
        <f>iferror(average(EBITDA_MARGIN!M73:M76),"")</f>
        <v/>
      </c>
      <c r="N190" s="14" t="str">
        <f>iferror(average(EBITDA_MARGIN!N73:N76),"")</f>
        <v/>
      </c>
      <c r="O190" s="14">
        <f>iferror(average(EBITDA_MARGIN!O73:O76),"")</f>
        <v>0.2472404975</v>
      </c>
      <c r="P190" s="14" t="str">
        <f>iferror(average(EBITDA_MARGIN!P73:P76),"")</f>
        <v/>
      </c>
      <c r="Q190" s="14" t="str">
        <f>iferror(average(EBITDA_MARGIN!Q73:Q76),"")</f>
        <v/>
      </c>
      <c r="R190" s="14"/>
      <c r="S190" s="14">
        <f>iferror(average(EBITDA_MARGIN!S73:S76),"")</f>
        <v>0.05926019754</v>
      </c>
      <c r="T190" s="14" t="str">
        <f>iferror(average(EBITDA_MARGIN!T73:T76),"")</f>
        <v/>
      </c>
      <c r="U190" s="14" t="str">
        <f>iferror(average(EBITDA_MARGIN!U73:U76),"")</f>
        <v/>
      </c>
      <c r="V190" s="14">
        <f>iferror(average(EBITDA_MARGIN!V73:V76),"")</f>
        <v>0.04781187266</v>
      </c>
      <c r="W190" s="14" t="str">
        <f>iferror(average(EBITDA_MARGIN!W73:W76),"")</f>
        <v/>
      </c>
      <c r="X190" s="25">
        <f>iferror(average(EBITDA_MARGIN!X73:X76),"")</f>
        <v>0.2332794565</v>
      </c>
      <c r="Y190" s="25">
        <f>iferror(average(EBITDA_MARGIN!Y73:Y76),"")</f>
        <v>0.1211584691</v>
      </c>
      <c r="Z190" s="25">
        <f>iferror(average(EBITDA_MARGIN!Z73:Z76),"")</f>
        <v>0.3280318091</v>
      </c>
      <c r="AA190" s="25">
        <f>iferror(average(EBITDA_MARGIN!AA73:AA76),"")</f>
        <v>0.0404862099</v>
      </c>
      <c r="AB190" s="25" t="str">
        <f>iferror(average(EBITDA_MARGIN!AB73:AB76),"")</f>
        <v/>
      </c>
      <c r="AC190" s="25" t="str">
        <f>iferror(average(EBITDA_MARGIN!AC73:AC76),"")</f>
        <v/>
      </c>
      <c r="AD190" s="12"/>
    </row>
    <row r="191">
      <c r="A191" s="15" t="s">
        <v>104</v>
      </c>
      <c r="B191" s="14"/>
      <c r="C191" s="14">
        <f>iferror(average(EBITDA_MARGIN!C74:C77),"")</f>
        <v>0.3843045404</v>
      </c>
      <c r="D191" s="14">
        <f>iferror(average(EBITDA_MARGIN!D74:D77),"")</f>
        <v>0.143115852</v>
      </c>
      <c r="E191" s="14">
        <f>iferror(average(EBITDA_MARGIN!E74:E77),"")</f>
        <v>0.04905307601</v>
      </c>
      <c r="F191" s="14">
        <f>iferror(average(EBITDA_MARGIN!F74:F77),"")</f>
        <v>0.245433914</v>
      </c>
      <c r="G191" s="14">
        <f>iferror(average(EBITDA_MARGIN!G74:G77),"")</f>
        <v>-0.02308152663</v>
      </c>
      <c r="H191" s="14">
        <f>iferror(average(EBITDA_MARGIN!H74:H77),"")</f>
        <v>0.4099085937</v>
      </c>
      <c r="I191" s="14"/>
      <c r="J191" s="14">
        <f>iferror(average(EBITDA_MARGIN!J74:J77),"")</f>
        <v>-0.09315134969</v>
      </c>
      <c r="K191" s="14"/>
      <c r="L191" s="14" t="str">
        <f>iferror(average(EBITDA_MARGIN!L74:L77),"")</f>
        <v/>
      </c>
      <c r="M191" s="14" t="str">
        <f>iferror(average(EBITDA_MARGIN!M74:M77),"")</f>
        <v/>
      </c>
      <c r="N191" s="14" t="str">
        <f>iferror(average(EBITDA_MARGIN!N74:N77),"")</f>
        <v/>
      </c>
      <c r="O191" s="14">
        <f>iferror(average(EBITDA_MARGIN!O74:O77),"")</f>
        <v>0.2449142216</v>
      </c>
      <c r="P191" s="14" t="str">
        <f>iferror(average(EBITDA_MARGIN!P74:P77),"")</f>
        <v/>
      </c>
      <c r="Q191" s="14" t="str">
        <f>iferror(average(EBITDA_MARGIN!Q74:Q77),"")</f>
        <v/>
      </c>
      <c r="R191" s="14"/>
      <c r="S191" s="14">
        <f>iferror(average(EBITDA_MARGIN!S74:S77),"")</f>
        <v>0.007747500007</v>
      </c>
      <c r="T191" s="14" t="str">
        <f>iferror(average(EBITDA_MARGIN!T74:T77),"")</f>
        <v/>
      </c>
      <c r="U191" s="14" t="str">
        <f>iferror(average(EBITDA_MARGIN!U74:U77),"")</f>
        <v/>
      </c>
      <c r="V191" s="14">
        <f>iferror(average(EBITDA_MARGIN!V74:V77),"")</f>
        <v>0.04781187266</v>
      </c>
      <c r="W191" s="14" t="str">
        <f>iferror(average(EBITDA_MARGIN!W74:W77),"")</f>
        <v/>
      </c>
      <c r="X191" s="25">
        <f>iferror(average(EBITDA_MARGIN!X74:X77),"")</f>
        <v>0.2152294515</v>
      </c>
      <c r="Y191" s="25">
        <f>iferror(average(EBITDA_MARGIN!Y74:Y77),"")</f>
        <v>0.1105801441</v>
      </c>
      <c r="Z191" s="25">
        <f>iferror(average(EBITDA_MARGIN!Z74:Z77),"")</f>
        <v>0.3280318091</v>
      </c>
      <c r="AA191" s="25">
        <f>iferror(average(EBITDA_MARGIN!AA74:AA77),"")</f>
        <v>0.03188774484</v>
      </c>
      <c r="AB191" s="25" t="str">
        <f>iferror(average(EBITDA_MARGIN!AB74:AB77),"")</f>
        <v/>
      </c>
      <c r="AC191" s="25" t="str">
        <f>iferror(average(EBITDA_MARGIN!AC74:AC77),"")</f>
        <v/>
      </c>
      <c r="AD191" s="12"/>
    </row>
    <row r="192">
      <c r="A192" s="15" t="s">
        <v>105</v>
      </c>
      <c r="B192" s="14">
        <f>iferror(average(EBITDA_MARGIN!B75:B78),"")</f>
        <v>-0.13459356</v>
      </c>
      <c r="C192" s="14">
        <f>iferror(average(EBITDA_MARGIN!C75:C78),"")</f>
        <v>0.3828497373</v>
      </c>
      <c r="D192" s="14">
        <f>iferror(average(EBITDA_MARGIN!D75:D78),"")</f>
        <v>0.1370131245</v>
      </c>
      <c r="E192" s="14">
        <f>iferror(average(EBITDA_MARGIN!E75:E78),"")</f>
        <v>0.06398295392</v>
      </c>
      <c r="F192" s="14">
        <f>iferror(average(EBITDA_MARGIN!F75:F78),"")</f>
        <v>0.2178284182</v>
      </c>
      <c r="G192" s="14">
        <f>iferror(average(EBITDA_MARGIN!G75:G78),"")</f>
        <v>-0.03048513559</v>
      </c>
      <c r="H192" s="14">
        <f>iferror(average(EBITDA_MARGIN!H75:H78),"")</f>
        <v>0.2980515863</v>
      </c>
      <c r="I192" s="14">
        <f>iferror(average(EBITDA_MARGIN!I75:I78),"")</f>
        <v>-0.09468095449</v>
      </c>
      <c r="J192" s="14">
        <f>iferror(average(EBITDA_MARGIN!J75:J78),"")</f>
        <v>-0.1289388775</v>
      </c>
      <c r="K192" s="14"/>
      <c r="L192" s="14" t="str">
        <f>iferror(average(EBITDA_MARGIN!L75:L78),"")</f>
        <v/>
      </c>
      <c r="M192" s="14" t="str">
        <f>iferror(average(EBITDA_MARGIN!M75:M78),"")</f>
        <v/>
      </c>
      <c r="N192" s="14" t="str">
        <f>iferror(average(EBITDA_MARGIN!N75:N78),"")</f>
        <v/>
      </c>
      <c r="O192" s="14">
        <f>iferror(average(EBITDA_MARGIN!O75:O78),"")</f>
        <v>0.2425879457</v>
      </c>
      <c r="P192" s="14" t="str">
        <f>iferror(average(EBITDA_MARGIN!P75:P78),"")</f>
        <v/>
      </c>
      <c r="Q192" s="14" t="str">
        <f>iferror(average(EBITDA_MARGIN!Q75:Q78),"")</f>
        <v/>
      </c>
      <c r="R192" s="14"/>
      <c r="S192" s="14">
        <f>iferror(average(EBITDA_MARGIN!S75:S78),"")</f>
        <v>-0.04376519753</v>
      </c>
      <c r="T192" s="14" t="str">
        <f>iferror(average(EBITDA_MARGIN!T75:T78),"")</f>
        <v/>
      </c>
      <c r="U192" s="14" t="str">
        <f>iferror(average(EBITDA_MARGIN!U75:U78),"")</f>
        <v/>
      </c>
      <c r="V192" s="14" t="str">
        <f>iferror(average(EBITDA_MARGIN!V75:V78),"")</f>
        <v/>
      </c>
      <c r="W192" s="14" t="str">
        <f>iferror(average(EBITDA_MARGIN!W75:W78),"")</f>
        <v/>
      </c>
      <c r="X192" s="25">
        <f>iferror(average(EBITDA_MARGIN!X75:X78),"")</f>
        <v>0.1971794464</v>
      </c>
      <c r="Y192" s="25">
        <f>iferror(average(EBITDA_MARGIN!Y75:Y78),"")</f>
        <v>0.100001819</v>
      </c>
      <c r="Z192" s="25">
        <f>iferror(average(EBITDA_MARGIN!Z75:Z78),"")</f>
        <v>0.3280318091</v>
      </c>
      <c r="AA192" s="25">
        <f>iferror(average(EBITDA_MARGIN!AA75:AA78),"")</f>
        <v>0.02328927979</v>
      </c>
      <c r="AB192" s="25" t="str">
        <f>iferror(average(EBITDA_MARGIN!AB75:AB78),"")</f>
        <v/>
      </c>
      <c r="AC192" s="25" t="str">
        <f>iferror(average(EBITDA_MARGIN!AC75:AC78),"")</f>
        <v/>
      </c>
      <c r="AD192" s="12"/>
    </row>
    <row r="193">
      <c r="A193" s="15" t="s">
        <v>106</v>
      </c>
      <c r="B193" s="14">
        <f>iferror(average(EBITDA_MARGIN!B76:B79),"")</f>
        <v>-0.1210277576</v>
      </c>
      <c r="C193" s="14">
        <f>iferror(average(EBITDA_MARGIN!C76:C79),"")</f>
        <v>0.340732857</v>
      </c>
      <c r="D193" s="14">
        <f>iferror(average(EBITDA_MARGIN!D76:D79),"")</f>
        <v>0.0803071123</v>
      </c>
      <c r="E193" s="14">
        <f>iferror(average(EBITDA_MARGIN!E76:E79),"")</f>
        <v>-0.03595706608</v>
      </c>
      <c r="F193" s="14">
        <f>iferror(average(EBITDA_MARGIN!F76:F79),"")</f>
        <v>0.19035995</v>
      </c>
      <c r="G193" s="14">
        <f>iferror(average(EBITDA_MARGIN!G76:G79),"")</f>
        <v>-0.02242941003</v>
      </c>
      <c r="H193" s="14">
        <f>iferror(average(EBITDA_MARGIN!H76:H79),"")</f>
        <v>0.1861945789</v>
      </c>
      <c r="I193" s="14">
        <f>iferror(average(EBITDA_MARGIN!I76:I79),"")</f>
        <v>-0.0659817685</v>
      </c>
      <c r="J193" s="14">
        <f>iferror(average(EBITDA_MARGIN!J76:J79),"")</f>
        <v>-0.2651357131</v>
      </c>
      <c r="K193" s="14"/>
      <c r="L193" s="14">
        <f>iferror(average(EBITDA_MARGIN!L76:L79),"")</f>
        <v>0.3829773081</v>
      </c>
      <c r="M193" s="14" t="str">
        <f>iferror(average(EBITDA_MARGIN!M76:M79),"")</f>
        <v/>
      </c>
      <c r="N193" s="14">
        <f>iferror(average(EBITDA_MARGIN!N76:N79),"")</f>
        <v>-1.060341556</v>
      </c>
      <c r="O193" s="14">
        <f>iferror(average(EBITDA_MARGIN!O76:O79),"")</f>
        <v>0.2402616698</v>
      </c>
      <c r="P193" s="14" t="str">
        <f>iferror(average(EBITDA_MARGIN!P76:P79),"")</f>
        <v/>
      </c>
      <c r="Q193" s="14" t="str">
        <f>iferror(average(EBITDA_MARGIN!Q76:Q79),"")</f>
        <v/>
      </c>
      <c r="R193" s="14"/>
      <c r="S193" s="14">
        <f>iferror(average(EBITDA_MARGIN!S76:S79),"")</f>
        <v>-0.01033240432</v>
      </c>
      <c r="T193" s="14"/>
      <c r="U193" s="14" t="str">
        <f>iferror(average(EBITDA_MARGIN!U76:U79),"")</f>
        <v/>
      </c>
      <c r="V193" s="14" t="str">
        <f>iferror(average(EBITDA_MARGIN!V76:V79),"")</f>
        <v/>
      </c>
      <c r="W193" s="14" t="str">
        <f>iferror(average(EBITDA_MARGIN!W76:W79),"")</f>
        <v/>
      </c>
      <c r="X193" s="25">
        <f>iferror(average(EBITDA_MARGIN!X76:X79),"")</f>
        <v>0.1791294414</v>
      </c>
      <c r="Y193" s="25">
        <f>iferror(average(EBITDA_MARGIN!Y76:Y79),"")</f>
        <v>0.1017944653</v>
      </c>
      <c r="Z193" s="25">
        <f>iferror(average(EBITDA_MARGIN!Z76:Z79),"")</f>
        <v>0.3317853569</v>
      </c>
      <c r="AA193" s="25">
        <f>iferror(average(EBITDA_MARGIN!AA76:AA79),"")</f>
        <v>0.02221984623</v>
      </c>
      <c r="AB193" s="25" t="str">
        <f>iferror(average(EBITDA_MARGIN!AB76:AB79),"")</f>
        <v/>
      </c>
      <c r="AC193" s="25">
        <f>iferror(average(EBITDA_MARGIN!AC76:AC79),"")</f>
        <v>-0.7141492947</v>
      </c>
      <c r="AD193" s="12"/>
    </row>
    <row r="194">
      <c r="A194" s="15" t="s">
        <v>107</v>
      </c>
      <c r="B194" s="14">
        <f>iferror(average(EBITDA_MARGIN!B77:B80),"")</f>
        <v>-0.1074619552</v>
      </c>
      <c r="C194" s="14">
        <f>iferror(average(EBITDA_MARGIN!C77:C80),"")</f>
        <v>0.3127579031</v>
      </c>
      <c r="D194" s="14">
        <f>iferror(average(EBITDA_MARGIN!D77:D80),"")</f>
        <v>0.0446655115</v>
      </c>
      <c r="E194" s="14">
        <f>iferror(average(EBITDA_MARGIN!E77:E80),"")</f>
        <v>-0.07607561158</v>
      </c>
      <c r="F194" s="14">
        <f>iferror(average(EBITDA_MARGIN!F77:F80),"")</f>
        <v>0.164675224</v>
      </c>
      <c r="G194" s="14">
        <f>iferror(average(EBITDA_MARGIN!G77:G80),"")</f>
        <v>-0.08464052837</v>
      </c>
      <c r="H194" s="14">
        <f>iferror(average(EBITDA_MARGIN!H77:H80),"")</f>
        <v>0.1910536064</v>
      </c>
      <c r="I194" s="14">
        <f>iferror(average(EBITDA_MARGIN!I77:I80),"")</f>
        <v>-0.03635950968</v>
      </c>
      <c r="J194" s="14">
        <f>iferror(average(EBITDA_MARGIN!J77:J80),"")</f>
        <v>-0.2534995663</v>
      </c>
      <c r="K194" s="14"/>
      <c r="L194" s="14">
        <f>iferror(average(EBITDA_MARGIN!L77:L80),"")</f>
        <v>0.4409123902</v>
      </c>
      <c r="M194" s="14" t="str">
        <f>iferror(average(EBITDA_MARGIN!M77:M80),"")</f>
        <v/>
      </c>
      <c r="N194" s="14">
        <f>iferror(average(EBITDA_MARGIN!N77:N80),"")</f>
        <v>-0.8060119624</v>
      </c>
      <c r="O194" s="14">
        <f>iferror(average(EBITDA_MARGIN!O77:O80),"")</f>
        <v>0.2379353939</v>
      </c>
      <c r="P194" s="14" t="str">
        <f>iferror(average(EBITDA_MARGIN!P77:P80),"")</f>
        <v/>
      </c>
      <c r="Q194" s="14" t="str">
        <f>iferror(average(EBITDA_MARGIN!Q77:Q80),"")</f>
        <v/>
      </c>
      <c r="R194" s="14"/>
      <c r="S194" s="14">
        <f>iferror(average(EBITDA_MARGIN!S77:S80),"")</f>
        <v>0.02310038888</v>
      </c>
      <c r="T194" s="14"/>
      <c r="U194" s="14" t="str">
        <f>iferror(average(EBITDA_MARGIN!U77:U80),"")</f>
        <v/>
      </c>
      <c r="V194" s="14" t="str">
        <f>iferror(average(EBITDA_MARGIN!V77:V80),"")</f>
        <v/>
      </c>
      <c r="W194" s="14" t="str">
        <f>iferror(average(EBITDA_MARGIN!W77:W80),"")</f>
        <v/>
      </c>
      <c r="X194" s="25">
        <f>iferror(average(EBITDA_MARGIN!X77:X80),"")</f>
        <v>0.1610794364</v>
      </c>
      <c r="Y194" s="25">
        <f>iferror(average(EBITDA_MARGIN!Y77:Y80),"")</f>
        <v>0.1035871116</v>
      </c>
      <c r="Z194" s="25">
        <f>iferror(average(EBITDA_MARGIN!Z77:Z80),"")</f>
        <v>0.3355389047</v>
      </c>
      <c r="AA194" s="25">
        <f>iferror(average(EBITDA_MARGIN!AA77:AA80),"")</f>
        <v>0.02115041267</v>
      </c>
      <c r="AB194" s="25" t="str">
        <f>iferror(average(EBITDA_MARGIN!AB77:AB80),"")</f>
        <v/>
      </c>
      <c r="AC194" s="25">
        <f>iferror(average(EBITDA_MARGIN!AC77:AC80),"")</f>
        <v>-0.7141492947</v>
      </c>
      <c r="AD194" s="12"/>
    </row>
    <row r="195">
      <c r="A195" s="15" t="s">
        <v>108</v>
      </c>
      <c r="B195" s="14">
        <f>iferror(average(EBITDA_MARGIN!B78:B81),"")</f>
        <v>-0.09389615272</v>
      </c>
      <c r="C195" s="14">
        <f>iferror(average(EBITDA_MARGIN!C78:C81),"")</f>
        <v>0.2710642984</v>
      </c>
      <c r="D195" s="14">
        <f>iferror(average(EBITDA_MARGIN!D78:D81),"")</f>
        <v>0.04330209864</v>
      </c>
      <c r="E195" s="14">
        <f>iferror(average(EBITDA_MARGIN!E78:E81),"")</f>
        <v>-0.07765958536</v>
      </c>
      <c r="F195" s="14">
        <f>iferror(average(EBITDA_MARGIN!F78:F81),"")</f>
        <v>0.1476290458</v>
      </c>
      <c r="G195" s="14">
        <f>iferror(average(EBITDA_MARGIN!G78:G81),"")</f>
        <v>-0.07731883962</v>
      </c>
      <c r="H195" s="14">
        <f>iferror(average(EBITDA_MARGIN!H78:H81),"")</f>
        <v>0.195912634</v>
      </c>
      <c r="I195" s="14">
        <f>iferror(average(EBITDA_MARGIN!I78:I81),"")</f>
        <v>0.03075412517</v>
      </c>
      <c r="J195" s="14">
        <f>iferror(average(EBITDA_MARGIN!J78:J81),"")</f>
        <v>-0.3309926638</v>
      </c>
      <c r="K195" s="14"/>
      <c r="L195" s="14">
        <f>iferror(average(EBITDA_MARGIN!L78:L81),"")</f>
        <v>0.4189881859</v>
      </c>
      <c r="M195" s="14" t="str">
        <f>iferror(average(EBITDA_MARGIN!M78:M81),"")</f>
        <v/>
      </c>
      <c r="N195" s="14">
        <f>iferror(average(EBITDA_MARGIN!N78:N81),"")</f>
        <v>-0.6712444422</v>
      </c>
      <c r="O195" s="14">
        <f>iferror(average(EBITDA_MARGIN!O78:O81),"")</f>
        <v>0.2302029024</v>
      </c>
      <c r="P195" s="14" t="str">
        <f>iferror(average(EBITDA_MARGIN!P78:P81),"")</f>
        <v/>
      </c>
      <c r="Q195" s="14" t="str">
        <f>iferror(average(EBITDA_MARGIN!Q78:Q81),"")</f>
        <v/>
      </c>
      <c r="R195" s="14"/>
      <c r="S195" s="14">
        <f>iferror(average(EBITDA_MARGIN!S78:S81),"")</f>
        <v>0.05653318209</v>
      </c>
      <c r="T195" s="14"/>
      <c r="U195" s="14" t="str">
        <f>iferror(average(EBITDA_MARGIN!U78:U81),"")</f>
        <v/>
      </c>
      <c r="V195" s="14" t="str">
        <f>iferror(average(EBITDA_MARGIN!V78:V81),"")</f>
        <v/>
      </c>
      <c r="W195" s="14" t="str">
        <f>iferror(average(EBITDA_MARGIN!W78:W81),"")</f>
        <v/>
      </c>
      <c r="X195" s="25">
        <f>iferror(average(EBITDA_MARGIN!X78:X81),"")</f>
        <v>0.1596274556</v>
      </c>
      <c r="Y195" s="25">
        <f>iferror(average(EBITDA_MARGIN!Y78:Y81),"")</f>
        <v>0.1053797579</v>
      </c>
      <c r="Z195" s="25">
        <f>iferror(average(EBITDA_MARGIN!Z78:Z81),"")</f>
        <v>0.3392924525</v>
      </c>
      <c r="AA195" s="25">
        <f>iferror(average(EBITDA_MARGIN!AA78:AA81),"")</f>
        <v>0.02008097911</v>
      </c>
      <c r="AB195" s="25" t="str">
        <f>iferror(average(EBITDA_MARGIN!AB78:AB81),"")</f>
        <v/>
      </c>
      <c r="AC195" s="25">
        <f>iferror(average(EBITDA_MARGIN!AC78:AC81),"")</f>
        <v>-0.7141492947</v>
      </c>
      <c r="AD195" s="12"/>
    </row>
    <row r="196">
      <c r="A196" s="15" t="s">
        <v>109</v>
      </c>
      <c r="B196" s="14">
        <f>iferror(average(EBITDA_MARGIN!B79:B82),"")</f>
        <v>-0.08033035028</v>
      </c>
      <c r="C196" s="14">
        <f>iferror(average(EBITDA_MARGIN!C79:C82),"")</f>
        <v>0.2565912167</v>
      </c>
      <c r="D196" s="14">
        <f>iferror(average(EBITDA_MARGIN!D79:D82),"")</f>
        <v>0.02278508124</v>
      </c>
      <c r="E196" s="14">
        <f>iferror(average(EBITDA_MARGIN!E79:E82),"")</f>
        <v>-0.1020333399</v>
      </c>
      <c r="F196" s="14">
        <f>iferror(average(EBITDA_MARGIN!F79:F82),"")</f>
        <v>0.09633649821</v>
      </c>
      <c r="G196" s="14">
        <f>iferror(average(EBITDA_MARGIN!G79:G82),"")</f>
        <v>-0.06200524803</v>
      </c>
      <c r="H196" s="14">
        <f>iferror(average(EBITDA_MARGIN!H79:H82),"")</f>
        <v>0.2007716615</v>
      </c>
      <c r="I196" s="14">
        <f>iferror(average(EBITDA_MARGIN!I79:I82),"")</f>
        <v>0.06703697641</v>
      </c>
      <c r="J196" s="14">
        <f>iferror(average(EBITDA_MARGIN!J79:J82),"")</f>
        <v>-0.2560549649</v>
      </c>
      <c r="K196" s="14"/>
      <c r="L196" s="14">
        <f>iferror(average(EBITDA_MARGIN!L79:L82),"")</f>
        <v>0.3893270812</v>
      </c>
      <c r="M196" s="14" t="str">
        <f>iferror(average(EBITDA_MARGIN!M79:M82),"")</f>
        <v/>
      </c>
      <c r="N196" s="14">
        <f>iferror(average(EBITDA_MARGIN!N79:N82),"")</f>
        <v>-0.628956446</v>
      </c>
      <c r="O196" s="14">
        <f>iferror(average(EBITDA_MARGIN!O79:O82),"")</f>
        <v>0.2224704109</v>
      </c>
      <c r="P196" s="14" t="str">
        <f>iferror(average(EBITDA_MARGIN!P79:P82),"")</f>
        <v/>
      </c>
      <c r="Q196" s="14" t="str">
        <f>iferror(average(EBITDA_MARGIN!Q79:Q82),"")</f>
        <v/>
      </c>
      <c r="R196" s="14"/>
      <c r="S196" s="14">
        <f>iferror(average(EBITDA_MARGIN!S79:S82),"")</f>
        <v>0.08996597529</v>
      </c>
      <c r="T196" s="14"/>
      <c r="U196" s="14" t="str">
        <f>iferror(average(EBITDA_MARGIN!U79:U82),"")</f>
        <v/>
      </c>
      <c r="V196" s="14" t="str">
        <f>iferror(average(EBITDA_MARGIN!V79:V82),"")</f>
        <v/>
      </c>
      <c r="W196" s="14" t="str">
        <f>iferror(average(EBITDA_MARGIN!W79:W82),"")</f>
        <v/>
      </c>
      <c r="X196" s="25">
        <f>iferror(average(EBITDA_MARGIN!X79:X82),"")</f>
        <v>0.1581754749</v>
      </c>
      <c r="Y196" s="25">
        <f>iferror(average(EBITDA_MARGIN!Y79:Y82),"")</f>
        <v>0.1071724042</v>
      </c>
      <c r="Z196" s="25">
        <f>iferror(average(EBITDA_MARGIN!Z79:Z82),"")</f>
        <v>0.3430460003</v>
      </c>
      <c r="AA196" s="25">
        <f>iferror(average(EBITDA_MARGIN!AA79:AA82),"")</f>
        <v>0.01901154555</v>
      </c>
      <c r="AB196" s="25" t="str">
        <f>iferror(average(EBITDA_MARGIN!AB79:AB82),"")</f>
        <v/>
      </c>
      <c r="AC196" s="25">
        <f>iferror(average(EBITDA_MARGIN!AC79:AC82),"")</f>
        <v>-0.7141492947</v>
      </c>
      <c r="AD196" s="12"/>
    </row>
    <row r="197">
      <c r="A197" s="15" t="s">
        <v>110</v>
      </c>
      <c r="B197" s="14">
        <f>iferror(average(EBITDA_MARGIN!B80:B83),"")</f>
        <v>-0.06044489581</v>
      </c>
      <c r="C197" s="14">
        <f>iferror(average(EBITDA_MARGIN!C80:C83),"")</f>
        <v>0.2575142548</v>
      </c>
      <c r="D197" s="14">
        <f>iferror(average(EBITDA_MARGIN!D80:D83),"")</f>
        <v>0.03027664285</v>
      </c>
      <c r="E197" s="14">
        <f>iferror(average(EBITDA_MARGIN!E80:E83),"")</f>
        <v>-0.01023271721</v>
      </c>
      <c r="F197" s="14">
        <f>iferror(average(EBITDA_MARGIN!F80:F83),"")</f>
        <v>0.08614893711</v>
      </c>
      <c r="G197" s="14">
        <f>iferror(average(EBITDA_MARGIN!G80:G83),"")</f>
        <v>-0.05089450279</v>
      </c>
      <c r="H197" s="14">
        <f>iferror(average(EBITDA_MARGIN!H80:H83),"")</f>
        <v>0.2056306891</v>
      </c>
      <c r="I197" s="14">
        <f>iferror(average(EBITDA_MARGIN!I80:I83),"")</f>
        <v>0.09776831512</v>
      </c>
      <c r="J197" s="14">
        <f>iferror(average(EBITDA_MARGIN!J80:J83),"")</f>
        <v>-0.2666805296</v>
      </c>
      <c r="K197" s="14"/>
      <c r="L197" s="14">
        <f>iferror(average(EBITDA_MARGIN!L80:L83),"")</f>
        <v>0.3696630292</v>
      </c>
      <c r="M197" s="14" t="str">
        <f>iferror(average(EBITDA_MARGIN!M80:M83),"")</f>
        <v/>
      </c>
      <c r="N197" s="14">
        <f>iferror(average(EBITDA_MARGIN!N80:N83),"")</f>
        <v>-0.3885510269</v>
      </c>
      <c r="O197" s="14">
        <f>iferror(average(EBITDA_MARGIN!O80:O83),"")</f>
        <v>0.2147379195</v>
      </c>
      <c r="P197" s="14" t="str">
        <f>iferror(average(EBITDA_MARGIN!P80:P83),"")</f>
        <v/>
      </c>
      <c r="Q197" s="14" t="str">
        <f>iferror(average(EBITDA_MARGIN!Q80:Q83),"")</f>
        <v/>
      </c>
      <c r="R197" s="14"/>
      <c r="S197" s="14">
        <f>iferror(average(EBITDA_MARGIN!S80:S83),"")</f>
        <v>0.07568043157</v>
      </c>
      <c r="T197" s="14">
        <f>iferror(average(EBITDA_MARGIN!T80:T83),"")</f>
        <v>0.1793505835</v>
      </c>
      <c r="U197" s="14" t="str">
        <f>iferror(average(EBITDA_MARGIN!U80:U83),"")</f>
        <v/>
      </c>
      <c r="V197" s="14" t="str">
        <f>iferror(average(EBITDA_MARGIN!V80:V83),"")</f>
        <v/>
      </c>
      <c r="W197" s="14" t="str">
        <f>iferror(average(EBITDA_MARGIN!W80:W83),"")</f>
        <v/>
      </c>
      <c r="X197" s="25">
        <f>iferror(average(EBITDA_MARGIN!X80:X83),"")</f>
        <v>0.1567234942</v>
      </c>
      <c r="Y197" s="25">
        <f>iferror(average(EBITDA_MARGIN!Y80:Y83),"")</f>
        <v>0.1084706464</v>
      </c>
      <c r="Z197" s="25">
        <f>iferror(average(EBITDA_MARGIN!Z80:Z83),"")</f>
        <v>0.3398759488</v>
      </c>
      <c r="AA197" s="25">
        <f>iferror(average(EBITDA_MARGIN!AA80:AA83),"")</f>
        <v>0.01750362537</v>
      </c>
      <c r="AB197" s="25">
        <f>iferror(average(EBITDA_MARGIN!AB80:AB83),"")</f>
        <v>-0.1160791948</v>
      </c>
      <c r="AC197" s="25">
        <f>iferror(average(EBITDA_MARGIN!AC80:AC83),"")</f>
        <v>-0.962802038</v>
      </c>
      <c r="AD197" s="12"/>
    </row>
    <row r="198">
      <c r="A198" s="15" t="s">
        <v>111</v>
      </c>
      <c r="B198" s="14">
        <f>iferror(average(EBITDA_MARGIN!B81:B84),"")</f>
        <v>-0.04055944134</v>
      </c>
      <c r="C198" s="14">
        <f>iferror(average(EBITDA_MARGIN!C81:C84),"")</f>
        <v>0.2611192293</v>
      </c>
      <c r="D198" s="14">
        <f>iferror(average(EBITDA_MARGIN!D81:D84),"")</f>
        <v>0.03717540336</v>
      </c>
      <c r="E198" s="14">
        <f>iferror(average(EBITDA_MARGIN!E81:E84),"")</f>
        <v>0.04904224091</v>
      </c>
      <c r="F198" s="14">
        <f>iferror(average(EBITDA_MARGIN!F81:F84),"")</f>
        <v>0.08331995482</v>
      </c>
      <c r="G198" s="14">
        <f>iferror(average(EBITDA_MARGIN!G81:G84),"")</f>
        <v>0.01636864866</v>
      </c>
      <c r="H198" s="14">
        <f>iferror(average(EBITDA_MARGIN!H81:H84),"")</f>
        <v>0.2019570436</v>
      </c>
      <c r="I198" s="14">
        <f>iferror(average(EBITDA_MARGIN!I81:I84),"")</f>
        <v>0.1064289867</v>
      </c>
      <c r="J198" s="14">
        <f>iferror(average(EBITDA_MARGIN!J81:J84),"")</f>
        <v>-0.3261911316</v>
      </c>
      <c r="K198" s="14"/>
      <c r="L198" s="14">
        <f>iferror(average(EBITDA_MARGIN!L81:L84),"")</f>
        <v>0.3363214736</v>
      </c>
      <c r="M198" s="14" t="str">
        <f>iferror(average(EBITDA_MARGIN!M81:M84),"")</f>
        <v/>
      </c>
      <c r="N198" s="14">
        <f>iferror(average(EBITDA_MARGIN!N81:N84),"")</f>
        <v>-0.4191375751</v>
      </c>
      <c r="O198" s="14">
        <f>iferror(average(EBITDA_MARGIN!O81:O84),"")</f>
        <v>0.207005428</v>
      </c>
      <c r="P198" s="14" t="str">
        <f>iferror(average(EBITDA_MARGIN!P81:P84),"")</f>
        <v/>
      </c>
      <c r="Q198" s="14" t="str">
        <f>iferror(average(EBITDA_MARGIN!Q81:Q84),"")</f>
        <v/>
      </c>
      <c r="R198" s="14"/>
      <c r="S198" s="14">
        <f>iferror(average(EBITDA_MARGIN!S81:S84),"")</f>
        <v>0.06139488784</v>
      </c>
      <c r="T198" s="14">
        <f>iferror(average(EBITDA_MARGIN!T81:T84),"")</f>
        <v>0.1499728606</v>
      </c>
      <c r="U198" s="14" t="str">
        <f>iferror(average(EBITDA_MARGIN!U81:U84),"")</f>
        <v/>
      </c>
      <c r="V198" s="14" t="str">
        <f>iferror(average(EBITDA_MARGIN!V81:V84),"")</f>
        <v/>
      </c>
      <c r="W198" s="14" t="str">
        <f>iferror(average(EBITDA_MARGIN!W81:W84),"")</f>
        <v/>
      </c>
      <c r="X198" s="25">
        <f>iferror(average(EBITDA_MARGIN!X81:X84),"")</f>
        <v>0.1552715134</v>
      </c>
      <c r="Y198" s="25">
        <f>iferror(average(EBITDA_MARGIN!Y81:Y84),"")</f>
        <v>0.1097688886</v>
      </c>
      <c r="Z198" s="25">
        <f>iferror(average(EBITDA_MARGIN!Z81:Z84),"")</f>
        <v>0.3367058974</v>
      </c>
      <c r="AA198" s="25">
        <f>iferror(average(EBITDA_MARGIN!AA81:AA84),"")</f>
        <v>0.01599570519</v>
      </c>
      <c r="AB198" s="25">
        <f>iferror(average(EBITDA_MARGIN!AB81:AB84),"")</f>
        <v>-0.1160791948</v>
      </c>
      <c r="AC198" s="25">
        <f>iferror(average(EBITDA_MARGIN!AC81:AC84),"")</f>
        <v>-1.211454781</v>
      </c>
      <c r="AD198" s="12"/>
    </row>
    <row r="199">
      <c r="A199" s="15" t="s">
        <v>112</v>
      </c>
      <c r="B199" s="14">
        <f>iferror(average(EBITDA_MARGIN!B82:B85),"")</f>
        <v>-0.02067398687</v>
      </c>
      <c r="C199" s="14">
        <f>iferror(average(EBITDA_MARGIN!C82:C85),"")</f>
        <v>0.3236335234</v>
      </c>
      <c r="D199" s="14">
        <f>iferror(average(EBITDA_MARGIN!D82:D85),"")</f>
        <v>0.03926530582</v>
      </c>
      <c r="E199" s="14">
        <f>iferror(average(EBITDA_MARGIN!E82:E85),"")</f>
        <v>0.08312545948</v>
      </c>
      <c r="F199" s="14">
        <f>iferror(average(EBITDA_MARGIN!F82:F85),"")</f>
        <v>0.06754911957</v>
      </c>
      <c r="G199" s="14">
        <f>iferror(average(EBITDA_MARGIN!G82:G85),"")</f>
        <v>0.004502607732</v>
      </c>
      <c r="H199" s="14">
        <f>iferror(average(EBITDA_MARGIN!H82:H85),"")</f>
        <v>0.2080184115</v>
      </c>
      <c r="I199" s="14">
        <f>iferror(average(EBITDA_MARGIN!I82:I85),"")</f>
        <v>0.09226457849</v>
      </c>
      <c r="J199" s="14">
        <f>iferror(average(EBITDA_MARGIN!J82:J85),"")</f>
        <v>-0.3093216605</v>
      </c>
      <c r="K199" s="14"/>
      <c r="L199" s="14">
        <f>iferror(average(EBITDA_MARGIN!L82:L85),"")</f>
        <v>0.3135962661</v>
      </c>
      <c r="M199" s="14" t="str">
        <f>iferror(average(EBITDA_MARGIN!M82:M85),"")</f>
        <v/>
      </c>
      <c r="N199" s="14">
        <f>iferror(average(EBITDA_MARGIN!N82:N85),"")</f>
        <v>-0.3579992367</v>
      </c>
      <c r="O199" s="14">
        <f>iferror(average(EBITDA_MARGIN!O82:O85),"")</f>
        <v>0.1842341506</v>
      </c>
      <c r="P199" s="14" t="str">
        <f>iferror(average(EBITDA_MARGIN!P82:P85),"")</f>
        <v/>
      </c>
      <c r="Q199" s="14" t="str">
        <f>iferror(average(EBITDA_MARGIN!Q82:Q85),"")</f>
        <v/>
      </c>
      <c r="R199" s="14"/>
      <c r="S199" s="14">
        <f>iferror(average(EBITDA_MARGIN!S82:S85),"")</f>
        <v>0.04710934412</v>
      </c>
      <c r="T199" s="14">
        <f>iferror(average(EBITDA_MARGIN!T82:T85),"")</f>
        <v>0.1205951378</v>
      </c>
      <c r="U199" s="14" t="str">
        <f>iferror(average(EBITDA_MARGIN!U82:U85),"")</f>
        <v/>
      </c>
      <c r="V199" s="14" t="str">
        <f>iferror(average(EBITDA_MARGIN!V82:V85),"")</f>
        <v/>
      </c>
      <c r="W199" s="14" t="str">
        <f>iferror(average(EBITDA_MARGIN!W82:W85),"")</f>
        <v/>
      </c>
      <c r="X199" s="25">
        <f>iferror(average(EBITDA_MARGIN!X82:X85),"")</f>
        <v>0.1526128546</v>
      </c>
      <c r="Y199" s="25">
        <f>iferror(average(EBITDA_MARGIN!Y82:Y85),"")</f>
        <v>0.1110671308</v>
      </c>
      <c r="Z199" s="25">
        <f>iferror(average(EBITDA_MARGIN!Z82:Z85),"")</f>
        <v>0.333535846</v>
      </c>
      <c r="AA199" s="25">
        <f>iferror(average(EBITDA_MARGIN!AA82:AA85),"")</f>
        <v>0.01448778501</v>
      </c>
      <c r="AB199" s="25">
        <f>iferror(average(EBITDA_MARGIN!AB82:AB85),"")</f>
        <v>-0.1160791948</v>
      </c>
      <c r="AC199" s="25">
        <f>iferror(average(EBITDA_MARGIN!AC82:AC85),"")</f>
        <v>-1.460107525</v>
      </c>
      <c r="AD199" s="12"/>
    </row>
    <row r="200">
      <c r="A200" s="15" t="s">
        <v>113</v>
      </c>
      <c r="B200" s="14">
        <f>iferror(average(EBITDA_MARGIN!B83:B86),"")</f>
        <v>-0.0007885323968</v>
      </c>
      <c r="C200" s="14">
        <f>iferror(average(EBITDA_MARGIN!C83:C86),"")</f>
        <v>0.3264112953</v>
      </c>
      <c r="D200" s="14">
        <f>iferror(average(EBITDA_MARGIN!D83:D86),"")</f>
        <v>0.0337222288</v>
      </c>
      <c r="E200" s="14">
        <f>iferror(average(EBITDA_MARGIN!E83:E86),"")</f>
        <v>0.1249042853</v>
      </c>
      <c r="F200" s="14">
        <f>iferror(average(EBITDA_MARGIN!F83:F86),"")</f>
        <v>0.06672101121</v>
      </c>
      <c r="G200" s="14">
        <f>iferror(average(EBITDA_MARGIN!G83:G86),"")</f>
        <v>-0.02122812612</v>
      </c>
      <c r="H200" s="14">
        <f>iferror(average(EBITDA_MARGIN!H83:H86),"")</f>
        <v>0.2176291765</v>
      </c>
      <c r="I200" s="14">
        <f>iferror(average(EBITDA_MARGIN!I83:I86),"")</f>
        <v>0.1037299877</v>
      </c>
      <c r="J200" s="14">
        <f>iferror(average(EBITDA_MARGIN!J83:J86),"")</f>
        <v>-0.4089300166</v>
      </c>
      <c r="K200" s="14"/>
      <c r="L200" s="14">
        <f>iferror(average(EBITDA_MARGIN!L83:L86),"")</f>
        <v>0.2513045574</v>
      </c>
      <c r="M200" s="14" t="str">
        <f>iferror(average(EBITDA_MARGIN!M83:M86),"")</f>
        <v/>
      </c>
      <c r="N200" s="14">
        <f>iferror(average(EBITDA_MARGIN!N83:N86),"")</f>
        <v>-0.4359485822</v>
      </c>
      <c r="O200" s="14">
        <f>iferror(average(EBITDA_MARGIN!O83:O86),"")</f>
        <v>0.1614628732</v>
      </c>
      <c r="P200" s="14" t="str">
        <f>iferror(average(EBITDA_MARGIN!P83:P86),"")</f>
        <v/>
      </c>
      <c r="Q200" s="14" t="str">
        <f>iferror(average(EBITDA_MARGIN!Q83:Q86),"")</f>
        <v/>
      </c>
      <c r="R200" s="14"/>
      <c r="S200" s="14">
        <f>iferror(average(EBITDA_MARGIN!S83:S86),"")</f>
        <v>0.0328238004</v>
      </c>
      <c r="T200" s="14">
        <f>iferror(average(EBITDA_MARGIN!T83:T86),"")</f>
        <v>0.09121741493</v>
      </c>
      <c r="U200" s="14" t="str">
        <f>iferror(average(EBITDA_MARGIN!U83:U86),"")</f>
        <v/>
      </c>
      <c r="V200" s="14" t="str">
        <f>iferror(average(EBITDA_MARGIN!V83:V86),"")</f>
        <v/>
      </c>
      <c r="W200" s="14" t="str">
        <f>iferror(average(EBITDA_MARGIN!W83:W86),"")</f>
        <v/>
      </c>
      <c r="X200" s="25">
        <f>iferror(average(EBITDA_MARGIN!X83:X86),"")</f>
        <v>0.1499541958</v>
      </c>
      <c r="Y200" s="25">
        <f>iferror(average(EBITDA_MARGIN!Y83:Y86),"")</f>
        <v>0.112365373</v>
      </c>
      <c r="Z200" s="25">
        <f>iferror(average(EBITDA_MARGIN!Z83:Z86),"")</f>
        <v>0.3303657946</v>
      </c>
      <c r="AA200" s="25">
        <f>iferror(average(EBITDA_MARGIN!AA83:AA86),"")</f>
        <v>0.01297986484</v>
      </c>
      <c r="AB200" s="25">
        <f>iferror(average(EBITDA_MARGIN!AB83:AB86),"")</f>
        <v>-0.1160791948</v>
      </c>
      <c r="AC200" s="25">
        <f>iferror(average(EBITDA_MARGIN!AC83:AC86),"")</f>
        <v>-1.708760268</v>
      </c>
      <c r="AD200" s="12"/>
    </row>
    <row r="201">
      <c r="A201" s="15" t="s">
        <v>114</v>
      </c>
      <c r="B201" s="14">
        <f>iferror(average(EBITDA_MARGIN!B84:B87),"")</f>
        <v>0.006332574925</v>
      </c>
      <c r="C201" s="14">
        <f>iferror(average(EBITDA_MARGIN!C84:C87),"")</f>
        <v>0.3362100946</v>
      </c>
      <c r="D201" s="14">
        <f>iferror(average(EBITDA_MARGIN!D84:D87),"")</f>
        <v>0.03183730578</v>
      </c>
      <c r="E201" s="14">
        <f>iferror(average(EBITDA_MARGIN!E84:E87),"")</f>
        <v>0.1596800108</v>
      </c>
      <c r="F201" s="14">
        <f>iferror(average(EBITDA_MARGIN!F84:F87),"")</f>
        <v>0.06380882483</v>
      </c>
      <c r="G201" s="14">
        <f>iferror(average(EBITDA_MARGIN!G84:G87),"")</f>
        <v>-0.06085354003</v>
      </c>
      <c r="H201" s="14">
        <f>iferror(average(EBITDA_MARGIN!H84:H87),"")</f>
        <v>0.2136537439</v>
      </c>
      <c r="I201" s="14">
        <f>iferror(average(EBITDA_MARGIN!I84:I87),"")</f>
        <v>0.1026163539</v>
      </c>
      <c r="J201" s="14">
        <f>iferror(average(EBITDA_MARGIN!J84:J87),"")</f>
        <v>-0.3264684951</v>
      </c>
      <c r="K201" s="14" t="str">
        <f>iferror(average(EBITDA_MARGIN!K84:K87),"")</f>
        <v/>
      </c>
      <c r="L201" s="14">
        <f>iferror(average(EBITDA_MARGIN!L84:L87),"")</f>
        <v>0.222841938</v>
      </c>
      <c r="M201" s="14" t="str">
        <f>iferror(average(EBITDA_MARGIN!M84:M87),"")</f>
        <v/>
      </c>
      <c r="N201" s="14">
        <f>iferror(average(EBITDA_MARGIN!N84:N87),"")</f>
        <v>-0.3962822871</v>
      </c>
      <c r="O201" s="14">
        <f>iferror(average(EBITDA_MARGIN!O84:O87),"")</f>
        <v>0.1386915958</v>
      </c>
      <c r="P201" s="14" t="str">
        <f>iferror(average(EBITDA_MARGIN!P84:P87),"")</f>
        <v/>
      </c>
      <c r="Q201" s="14" t="str">
        <f>iferror(average(EBITDA_MARGIN!Q84:Q87),"")</f>
        <v/>
      </c>
      <c r="R201" s="14"/>
      <c r="S201" s="14">
        <f>iferror(average(EBITDA_MARGIN!S84:S87),"")</f>
        <v>0.04838026815</v>
      </c>
      <c r="T201" s="14">
        <f>iferror(average(EBITDA_MARGIN!T84:T87),"")</f>
        <v>0.06183969209</v>
      </c>
      <c r="U201" s="14" t="str">
        <f>iferror(average(EBITDA_MARGIN!U84:U87),"")</f>
        <v/>
      </c>
      <c r="V201" s="14" t="str">
        <f>iferror(average(EBITDA_MARGIN!V84:V87),"")</f>
        <v/>
      </c>
      <c r="W201" s="14" t="str">
        <f>iferror(average(EBITDA_MARGIN!W84:W87),"")</f>
        <v/>
      </c>
      <c r="X201" s="25">
        <f>iferror(average(EBITDA_MARGIN!X84:X87),"")</f>
        <v>0.147295537</v>
      </c>
      <c r="Y201" s="25">
        <f>iferror(average(EBITDA_MARGIN!Y84:Y87),"")</f>
        <v>0.125381223</v>
      </c>
      <c r="Z201" s="25">
        <f>iferror(average(EBITDA_MARGIN!Z84:Z87),"")</f>
        <v>0.2960246151</v>
      </c>
      <c r="AA201" s="25">
        <f>iferror(average(EBITDA_MARGIN!AA84:AA87),"")</f>
        <v>0.01163843345</v>
      </c>
      <c r="AB201" s="25">
        <f>iferror(average(EBITDA_MARGIN!AB84:AB87),"")</f>
        <v>-0.09489969621</v>
      </c>
      <c r="AC201" s="25">
        <f>iferror(average(EBITDA_MARGIN!AC84:AC87),"")</f>
        <v>-1.540051132</v>
      </c>
      <c r="AD201" s="12"/>
    </row>
    <row r="202">
      <c r="A202" s="15" t="s">
        <v>115</v>
      </c>
      <c r="B202" s="14">
        <f>iferror(average(EBITDA_MARGIN!B85:B88),"")</f>
        <v>0.01345368225</v>
      </c>
      <c r="C202" s="14">
        <f>iferror(average(EBITDA_MARGIN!C85:C88),"")</f>
        <v>0.3503128526</v>
      </c>
      <c r="D202" s="14">
        <f>iferror(average(EBITDA_MARGIN!D85:D88),"")</f>
        <v>0.02511158717</v>
      </c>
      <c r="E202" s="14">
        <f>iferror(average(EBITDA_MARGIN!E85:E88),"")</f>
        <v>0.2243480036</v>
      </c>
      <c r="F202" s="14">
        <f>iferror(average(EBITDA_MARGIN!F85:F88),"")</f>
        <v>0.06211485124</v>
      </c>
      <c r="G202" s="14">
        <f>iferror(average(EBITDA_MARGIN!G85:G88),"")</f>
        <v>-0.08730781701</v>
      </c>
      <c r="H202" s="14">
        <f>iferror(average(EBITDA_MARGIN!H85:H88),"")</f>
        <v>0.2136537439</v>
      </c>
      <c r="I202" s="14">
        <f>iferror(average(EBITDA_MARGIN!I85:I88),"")</f>
        <v>0.09133871074</v>
      </c>
      <c r="J202" s="14">
        <f>iferror(average(EBITDA_MARGIN!J85:J88),"")</f>
        <v>-0.3305570423</v>
      </c>
      <c r="K202" s="14"/>
      <c r="L202" s="14">
        <f>iferror(average(EBITDA_MARGIN!L85:L88),"")</f>
        <v>0.219074963</v>
      </c>
      <c r="M202" s="14" t="str">
        <f>iferror(average(EBITDA_MARGIN!M85:M88),"")</f>
        <v/>
      </c>
      <c r="N202" s="14">
        <f>iferror(average(EBITDA_MARGIN!N85:N88),"")</f>
        <v>-0.2512101293</v>
      </c>
      <c r="O202" s="14">
        <f>iferror(average(EBITDA_MARGIN!O85:O88),"")</f>
        <v>0.1159203184</v>
      </c>
      <c r="P202" s="14" t="str">
        <f>iferror(average(EBITDA_MARGIN!P85:P88),"")</f>
        <v/>
      </c>
      <c r="Q202" s="14" t="str">
        <f>iferror(average(EBITDA_MARGIN!Q85:Q88),"")</f>
        <v/>
      </c>
      <c r="R202" s="14"/>
      <c r="S202" s="14">
        <f>iferror(average(EBITDA_MARGIN!S85:S88),"")</f>
        <v>0.0639367359</v>
      </c>
      <c r="T202" s="14">
        <f>iferror(average(EBITDA_MARGIN!T85:T88),"")</f>
        <v>0.08885819077</v>
      </c>
      <c r="U202" s="14" t="str">
        <f>iferror(average(EBITDA_MARGIN!U85:U88),"")</f>
        <v/>
      </c>
      <c r="V202" s="14" t="str">
        <f>iferror(average(EBITDA_MARGIN!V85:V88),"")</f>
        <v/>
      </c>
      <c r="W202" s="14" t="str">
        <f>iferror(average(EBITDA_MARGIN!W85:W88),"")</f>
        <v/>
      </c>
      <c r="X202" s="25">
        <f>iferror(average(EBITDA_MARGIN!X85:X88),"")</f>
        <v>0.1446368782</v>
      </c>
      <c r="Y202" s="25">
        <f>iferror(average(EBITDA_MARGIN!Y85:Y88),"")</f>
        <v>0.138397073</v>
      </c>
      <c r="Z202" s="25">
        <f>iferror(average(EBITDA_MARGIN!Z85:Z88),"")</f>
        <v>0.2616834355</v>
      </c>
      <c r="AA202" s="25">
        <f>iferror(average(EBITDA_MARGIN!AA85:AA88),"")</f>
        <v>0.01029700205</v>
      </c>
      <c r="AB202" s="25">
        <f>iferror(average(EBITDA_MARGIN!AB85:AB88),"")</f>
        <v>-0.07372019761</v>
      </c>
      <c r="AC202" s="25">
        <f>iferror(average(EBITDA_MARGIN!AC85:AC88),"")</f>
        <v>-1.371341996</v>
      </c>
      <c r="AD202" s="12"/>
    </row>
    <row r="203">
      <c r="A203" s="15" t="s">
        <v>116</v>
      </c>
      <c r="B203" s="14">
        <f>iferror(average(EBITDA_MARGIN!B86:B89),"")</f>
        <v>0.02057478957</v>
      </c>
      <c r="C203" s="14">
        <f>iferror(average(EBITDA_MARGIN!C86:C89),"")</f>
        <v>0.3493089313</v>
      </c>
      <c r="D203" s="14">
        <f>iferror(average(EBITDA_MARGIN!D86:D89),"")</f>
        <v>0.03683511314</v>
      </c>
      <c r="E203" s="14">
        <f>iferror(average(EBITDA_MARGIN!E86:E89),"")</f>
        <v>0.1488062367</v>
      </c>
      <c r="F203" s="14">
        <f>iferror(average(EBITDA_MARGIN!F86:F89),"")</f>
        <v>0.08796384309</v>
      </c>
      <c r="G203" s="14">
        <f>iferror(average(EBITDA_MARGIN!G86:G89),"")</f>
        <v>-0.05832243125</v>
      </c>
      <c r="H203" s="14">
        <f>iferror(average(EBITDA_MARGIN!H86:H89),"")</f>
        <v>0.204717435</v>
      </c>
      <c r="I203" s="14">
        <f>iferror(average(EBITDA_MARGIN!I86:I89),"")</f>
        <v>0.05798745699</v>
      </c>
      <c r="J203" s="14">
        <f>iferror(average(EBITDA_MARGIN!J86:J89),"")</f>
        <v>-0.3421468864</v>
      </c>
      <c r="K203" s="14"/>
      <c r="L203" s="14">
        <f>iferror(average(EBITDA_MARGIN!L86:L89),"")</f>
        <v>-0.02072104107</v>
      </c>
      <c r="M203" s="14" t="str">
        <f>iferror(average(EBITDA_MARGIN!M86:M89),"")</f>
        <v/>
      </c>
      <c r="N203" s="14">
        <f>iferror(average(EBITDA_MARGIN!N86:N89),"")</f>
        <v>-0.230500941</v>
      </c>
      <c r="O203" s="14">
        <f>iferror(average(EBITDA_MARGIN!O86:O89),"")</f>
        <v>0.1340107735</v>
      </c>
      <c r="P203" s="14" t="str">
        <f>iferror(average(EBITDA_MARGIN!P86:P89),"")</f>
        <v/>
      </c>
      <c r="Q203" s="14" t="str">
        <f>iferror(average(EBITDA_MARGIN!Q86:Q89),"")</f>
        <v/>
      </c>
      <c r="R203" s="14"/>
      <c r="S203" s="14">
        <f>iferror(average(EBITDA_MARGIN!S86:S89),"")</f>
        <v>0.07949320366</v>
      </c>
      <c r="T203" s="14">
        <f>iferror(average(EBITDA_MARGIN!T86:T89),"")</f>
        <v>0.1158766894</v>
      </c>
      <c r="U203" s="14" t="str">
        <f>iferror(average(EBITDA_MARGIN!U86:U89),"")</f>
        <v/>
      </c>
      <c r="V203" s="14" t="str">
        <f>iferror(average(EBITDA_MARGIN!V86:V89),"")</f>
        <v/>
      </c>
      <c r="W203" s="14" t="str">
        <f>iferror(average(EBITDA_MARGIN!W86:W89),"")</f>
        <v/>
      </c>
      <c r="X203" s="25">
        <f>iferror(average(EBITDA_MARGIN!X86:X89),"")</f>
        <v>0.1480083317</v>
      </c>
      <c r="Y203" s="25">
        <f>iferror(average(EBITDA_MARGIN!Y86:Y89),"")</f>
        <v>0.151412923</v>
      </c>
      <c r="Z203" s="25">
        <f>iferror(average(EBITDA_MARGIN!Z86:Z89),"")</f>
        <v>0.227342256</v>
      </c>
      <c r="AA203" s="25">
        <f>iferror(average(EBITDA_MARGIN!AA86:AA89),"")</f>
        <v>0.008955570664</v>
      </c>
      <c r="AB203" s="25">
        <f>iferror(average(EBITDA_MARGIN!AB86:AB89),"")</f>
        <v>-0.05254069902</v>
      </c>
      <c r="AC203" s="25">
        <f>iferror(average(EBITDA_MARGIN!AC86:AC89),"")</f>
        <v>-1.20263286</v>
      </c>
      <c r="AD203" s="12"/>
    </row>
    <row r="204">
      <c r="A204" s="15" t="s">
        <v>117</v>
      </c>
      <c r="B204" s="14">
        <f>iferror(average(EBITDA_MARGIN!B87:B90),"")</f>
        <v>0.02769589689</v>
      </c>
      <c r="C204" s="14">
        <f>iferror(average(EBITDA_MARGIN!C87:C90),"")</f>
        <v>0.3144670324</v>
      </c>
      <c r="D204" s="14">
        <f>iferror(average(EBITDA_MARGIN!D87:D90),"")</f>
        <v>0.03411281349</v>
      </c>
      <c r="E204" s="14">
        <f>iferror(average(EBITDA_MARGIN!E87:E90),"")</f>
        <v>0.07732745781</v>
      </c>
      <c r="F204" s="14">
        <f>iferror(average(EBITDA_MARGIN!F87:F90),"")</f>
        <v>0.1015233482</v>
      </c>
      <c r="G204" s="14">
        <f>iferror(average(EBITDA_MARGIN!G87:G90),"")</f>
        <v>-0.01051239253</v>
      </c>
      <c r="H204" s="14">
        <f>iferror(average(EBITDA_MARGIN!H87:H90),"")</f>
        <v>0.1976463662</v>
      </c>
      <c r="I204" s="14">
        <f>iferror(average(EBITDA_MARGIN!I87:I90),"")</f>
        <v>0.04502893108</v>
      </c>
      <c r="J204" s="14">
        <f>iferror(average(EBITDA_MARGIN!J87:J90),"")</f>
        <v>-0.3353680566</v>
      </c>
      <c r="K204" s="14"/>
      <c r="L204" s="14">
        <f>iferror(average(EBITDA_MARGIN!L87:L90),"")</f>
        <v>-0.03581641209</v>
      </c>
      <c r="M204" s="14" t="str">
        <f>iferror(average(EBITDA_MARGIN!M87:M90),"")</f>
        <v/>
      </c>
      <c r="N204" s="14">
        <f>iferror(average(EBITDA_MARGIN!N87:N90),"")</f>
        <v>-0.02275311891</v>
      </c>
      <c r="O204" s="14">
        <f>iferror(average(EBITDA_MARGIN!O87:O90),"")</f>
        <v>0.1521012286</v>
      </c>
      <c r="P204" s="14" t="str">
        <f>iferror(average(EBITDA_MARGIN!P87:P90),"")</f>
        <v/>
      </c>
      <c r="Q204" s="14" t="str">
        <f>iferror(average(EBITDA_MARGIN!Q87:Q90),"")</f>
        <v/>
      </c>
      <c r="R204" s="14"/>
      <c r="S204" s="14">
        <f>iferror(average(EBITDA_MARGIN!S87:S90),"")</f>
        <v>0.09504967141</v>
      </c>
      <c r="T204" s="14">
        <f>iferror(average(EBITDA_MARGIN!T87:T90),"")</f>
        <v>0.1428951881</v>
      </c>
      <c r="U204" s="14" t="str">
        <f>iferror(average(EBITDA_MARGIN!U87:U90),"")</f>
        <v/>
      </c>
      <c r="V204" s="14" t="str">
        <f>iferror(average(EBITDA_MARGIN!V87:V90),"")</f>
        <v/>
      </c>
      <c r="W204" s="14" t="str">
        <f>iferror(average(EBITDA_MARGIN!W87:W90),"")</f>
        <v/>
      </c>
      <c r="X204" s="25">
        <f>iferror(average(EBITDA_MARGIN!X87:X90),"")</f>
        <v>0.1513797852</v>
      </c>
      <c r="Y204" s="25">
        <f>iferror(average(EBITDA_MARGIN!Y87:Y90),"")</f>
        <v>0.164428773</v>
      </c>
      <c r="Z204" s="25">
        <f>iferror(average(EBITDA_MARGIN!Z87:Z90),"")</f>
        <v>0.1930010765</v>
      </c>
      <c r="AA204" s="25">
        <f>iferror(average(EBITDA_MARGIN!AA87:AA90),"")</f>
        <v>0.007614139273</v>
      </c>
      <c r="AB204" s="25">
        <f>iferror(average(EBITDA_MARGIN!AB87:AB90),"")</f>
        <v>-0.03136120043</v>
      </c>
      <c r="AC204" s="25">
        <f>iferror(average(EBITDA_MARGIN!AC87:AC90),"")</f>
        <v>-1.033923724</v>
      </c>
      <c r="AD204" s="12"/>
    </row>
    <row r="205">
      <c r="A205" s="15" t="s">
        <v>118</v>
      </c>
      <c r="B205" s="14">
        <f>iferror(average(EBITDA_MARGIN!B88:B91),"")</f>
        <v>-28.5460487</v>
      </c>
      <c r="C205" s="14">
        <f>iferror(average(EBITDA_MARGIN!C88:C91),"")</f>
        <v>0.3354510157</v>
      </c>
      <c r="D205" s="14">
        <f>iferror(average(EBITDA_MARGIN!D88:D91),"")</f>
        <v>0.03744798227</v>
      </c>
      <c r="E205" s="14">
        <f>iferror(average(EBITDA_MARGIN!E88:E91),"")</f>
        <v>0.2044408755</v>
      </c>
      <c r="F205" s="14">
        <f>iferror(average(EBITDA_MARGIN!F88:F91),"")</f>
        <v>0.1095759487</v>
      </c>
      <c r="G205" s="14">
        <f>iferror(average(EBITDA_MARGIN!G88:G91),"")</f>
        <v>0.03347997078</v>
      </c>
      <c r="H205" s="14">
        <f>iferror(average(EBITDA_MARGIN!H88:H91),"")</f>
        <v>0.2169248267</v>
      </c>
      <c r="I205" s="14">
        <f>iferror(average(EBITDA_MARGIN!I88:I91),"")</f>
        <v>0.01489016762</v>
      </c>
      <c r="J205" s="14">
        <f>iferror(average(EBITDA_MARGIN!J88:J91),"")</f>
        <v>-0.3507770708</v>
      </c>
      <c r="K205" s="14" t="str">
        <f>iferror(average(EBITDA_MARGIN!K88:K91),"")</f>
        <v/>
      </c>
      <c r="L205" s="14">
        <f>iferror(average(EBITDA_MARGIN!L88:L91),"")</f>
        <v>-0.03465624287</v>
      </c>
      <c r="M205" s="14" t="str">
        <f>iferror(average(EBITDA_MARGIN!M88:M91),"")</f>
        <v/>
      </c>
      <c r="N205" s="14">
        <f>iferror(average(EBITDA_MARGIN!N88:N91),"")</f>
        <v>-0.04400074983</v>
      </c>
      <c r="O205" s="14">
        <f>iferror(average(EBITDA_MARGIN!O88:O91),"")</f>
        <v>0.1774008985</v>
      </c>
      <c r="P205" s="14" t="str">
        <f>iferror(average(EBITDA_MARGIN!P88:P91),"")</f>
        <v/>
      </c>
      <c r="Q205" s="14" t="str">
        <f>iferror(average(EBITDA_MARGIN!Q88:Q91),"")</f>
        <v/>
      </c>
      <c r="R205" s="14"/>
      <c r="S205" s="14">
        <f>iferror(average(EBITDA_MARGIN!S88:S91),"")</f>
        <v>0.1109457985</v>
      </c>
      <c r="T205" s="14">
        <f>iferror(average(EBITDA_MARGIN!T88:T91),"")</f>
        <v>0.1699136868</v>
      </c>
      <c r="U205" s="14">
        <f>iferror(average(EBITDA_MARGIN!U88:U91),"")</f>
        <v>-0.379268106</v>
      </c>
      <c r="V205" s="14" t="str">
        <f>iferror(average(EBITDA_MARGIN!V88:V91),"")</f>
        <v/>
      </c>
      <c r="W205" s="14" t="str">
        <f>iferror(average(EBITDA_MARGIN!W88:W91),"")</f>
        <v/>
      </c>
      <c r="X205" s="25">
        <f>iferror(average(EBITDA_MARGIN!X88:X91),"")</f>
        <v>0.1547512387</v>
      </c>
      <c r="Y205" s="25">
        <f>iferror(average(EBITDA_MARGIN!Y88:Y91),"")</f>
        <v>0.1623584394</v>
      </c>
      <c r="Z205" s="25">
        <f>iferror(average(EBITDA_MARGIN!Z88:Z91),"")</f>
        <v>0.2179802706</v>
      </c>
      <c r="AA205" s="25">
        <f>iferror(average(EBITDA_MARGIN!AA88:AA91),"")</f>
        <v>0.005490846941</v>
      </c>
      <c r="AB205" s="25">
        <f>iferror(average(EBITDA_MARGIN!AB88:AB91),"")</f>
        <v>-0.02372203644</v>
      </c>
      <c r="AC205" s="25">
        <f>iferror(average(EBITDA_MARGIN!AC88:AC91),"")</f>
        <v>-1.048548118</v>
      </c>
      <c r="AD205" s="12"/>
    </row>
    <row r="206">
      <c r="A206" s="15" t="s">
        <v>119</v>
      </c>
      <c r="B206" s="14">
        <f>iferror(average(EBITDA_MARGIN!B89:B92),"")</f>
        <v>-48.29561064</v>
      </c>
      <c r="C206" s="14">
        <f>iferror(average(EBITDA_MARGIN!C89:C92),"")</f>
        <v>0.3283824261</v>
      </c>
      <c r="D206" s="14">
        <f>iferror(average(EBITDA_MARGIN!D89:D92),"")</f>
        <v>0.05729630793</v>
      </c>
      <c r="E206" s="14">
        <f>iferror(average(EBITDA_MARGIN!E89:E92),"")</f>
        <v>0.1061992636</v>
      </c>
      <c r="F206" s="14">
        <f>iferror(average(EBITDA_MARGIN!F89:F92),"")</f>
        <v>0.1256108863</v>
      </c>
      <c r="G206" s="14">
        <f>iferror(average(EBITDA_MARGIN!G89:G92),"")</f>
        <v>0.07457323479</v>
      </c>
      <c r="H206" s="14">
        <f>iferror(average(EBITDA_MARGIN!H89:H92),"")</f>
        <v>0.2034664183</v>
      </c>
      <c r="I206" s="14">
        <f>iferror(average(EBITDA_MARGIN!I89:I92),"")</f>
        <v>-0.02788396951</v>
      </c>
      <c r="J206" s="14">
        <f>iferror(average(EBITDA_MARGIN!J89:J92),"")</f>
        <v>-0.3328139651</v>
      </c>
      <c r="K206" s="14" t="str">
        <f>iferror(average(EBITDA_MARGIN!K89:K92),"")</f>
        <v/>
      </c>
      <c r="L206" s="14">
        <f>iferror(average(EBITDA_MARGIN!L89:L92),"")</f>
        <v>-0.06789498299</v>
      </c>
      <c r="M206" s="14" t="str">
        <f>iferror(average(EBITDA_MARGIN!M89:M92),"")</f>
        <v/>
      </c>
      <c r="N206" s="14">
        <f>iferror(average(EBITDA_MARGIN!N89:N92),"")</f>
        <v>-0.02370465972</v>
      </c>
      <c r="O206" s="14">
        <f>iferror(average(EBITDA_MARGIN!O89:O92),"")</f>
        <v>0.2027005684</v>
      </c>
      <c r="P206" s="14" t="str">
        <f>iferror(average(EBITDA_MARGIN!P89:P92),"")</f>
        <v/>
      </c>
      <c r="Q206" s="14" t="str">
        <f>iferror(average(EBITDA_MARGIN!Q89:Q92),"")</f>
        <v/>
      </c>
      <c r="R206" s="14"/>
      <c r="S206" s="14">
        <f>iferror(average(EBITDA_MARGIN!S89:S92),"")</f>
        <v>0.1268419255</v>
      </c>
      <c r="T206" s="14">
        <f>iferror(average(EBITDA_MARGIN!T89:T92),"")</f>
        <v>0.1931356413</v>
      </c>
      <c r="U206" s="14">
        <f>iferror(average(EBITDA_MARGIN!U89:U92),"")</f>
        <v>-0.2674710301</v>
      </c>
      <c r="V206" s="14" t="str">
        <f>iferror(average(EBITDA_MARGIN!V89:V92),"")</f>
        <v/>
      </c>
      <c r="W206" s="14" t="str">
        <f>iferror(average(EBITDA_MARGIN!W89:W92),"")</f>
        <v/>
      </c>
      <c r="X206" s="25">
        <f>iferror(average(EBITDA_MARGIN!X89:X92),"")</f>
        <v>0.1581226922</v>
      </c>
      <c r="Y206" s="25">
        <f>iferror(average(EBITDA_MARGIN!Y89:Y92),"")</f>
        <v>0.1602881057</v>
      </c>
      <c r="Z206" s="25">
        <f>iferror(average(EBITDA_MARGIN!Z89:Z92),"")</f>
        <v>0.2429594647</v>
      </c>
      <c r="AA206" s="25">
        <f>iferror(average(EBITDA_MARGIN!AA89:AA92),"")</f>
        <v>0.003367554609</v>
      </c>
      <c r="AB206" s="25">
        <f>iferror(average(EBITDA_MARGIN!AB89:AB92),"")</f>
        <v>-0.01608287244</v>
      </c>
      <c r="AC206" s="25">
        <f>iferror(average(EBITDA_MARGIN!AC89:AC92),"")</f>
        <v>-1.063172512</v>
      </c>
      <c r="AD206" s="12"/>
    </row>
    <row r="207">
      <c r="A207" s="15" t="s">
        <v>120</v>
      </c>
      <c r="B207" s="14">
        <f>iferror(average(EBITDA_MARGIN!B90:B93),"")</f>
        <v>-62.8636297</v>
      </c>
      <c r="C207" s="14">
        <f>iferror(average(EBITDA_MARGIN!C90:C93),"")</f>
        <v>0.3300655253</v>
      </c>
      <c r="D207" s="14">
        <f>iferror(average(EBITDA_MARGIN!D90:D93),"")</f>
        <v>0.07383078526</v>
      </c>
      <c r="E207" s="14">
        <f>iferror(average(EBITDA_MARGIN!E90:E93),"")</f>
        <v>0.1565612276</v>
      </c>
      <c r="F207" s="14">
        <f>iferror(average(EBITDA_MARGIN!F90:F93),"")</f>
        <v>0.1207619902</v>
      </c>
      <c r="G207" s="14">
        <f>iferror(average(EBITDA_MARGIN!G90:G93),"")</f>
        <v>0.06034829549</v>
      </c>
      <c r="H207" s="14">
        <f>iferror(average(EBITDA_MARGIN!H90:H93),"")</f>
        <v>0.2043252403</v>
      </c>
      <c r="I207" s="14">
        <f>iferror(average(EBITDA_MARGIN!I90:I93),"")</f>
        <v>-0.0310086735</v>
      </c>
      <c r="J207" s="14">
        <f>iferror(average(EBITDA_MARGIN!J90:J93),"")</f>
        <v>-0.2969831752</v>
      </c>
      <c r="K207" s="14" t="str">
        <f>iferror(average(EBITDA_MARGIN!K90:K93),"")</f>
        <v/>
      </c>
      <c r="L207" s="14">
        <f>iferror(average(EBITDA_MARGIN!L90:L93),"")</f>
        <v>0.1528084128</v>
      </c>
      <c r="M207" s="14" t="str">
        <f>iferror(average(EBITDA_MARGIN!M90:M93),"")</f>
        <v/>
      </c>
      <c r="N207" s="14">
        <f>iferror(average(EBITDA_MARGIN!N90:N93),"")</f>
        <v>0.002751578255</v>
      </c>
      <c r="O207" s="14">
        <f>iferror(average(EBITDA_MARGIN!O90:O93),"")</f>
        <v>0.1694934617</v>
      </c>
      <c r="P207" s="14" t="str">
        <f>iferror(average(EBITDA_MARGIN!P90:P93),"")</f>
        <v/>
      </c>
      <c r="Q207" s="14" t="str">
        <f>iferror(average(EBITDA_MARGIN!Q90:Q93),"")</f>
        <v/>
      </c>
      <c r="R207" s="14"/>
      <c r="S207" s="14">
        <f>iferror(average(EBITDA_MARGIN!S90:S93),"")</f>
        <v>0.1427380526</v>
      </c>
      <c r="T207" s="14">
        <f>iferror(average(EBITDA_MARGIN!T90:T93),"")</f>
        <v>0.2163575958</v>
      </c>
      <c r="U207" s="14">
        <f>iferror(average(EBITDA_MARGIN!U90:U93),"")</f>
        <v>-0.2525518168</v>
      </c>
      <c r="V207" s="14" t="str">
        <f>iferror(average(EBITDA_MARGIN!V90:V93),"")</f>
        <v/>
      </c>
      <c r="W207" s="14" t="str">
        <f>iferror(average(EBITDA_MARGIN!W90:W93),"")</f>
        <v/>
      </c>
      <c r="X207" s="25">
        <f>iferror(average(EBITDA_MARGIN!X90:X93),"")</f>
        <v>0.1743684728</v>
      </c>
      <c r="Y207" s="25">
        <f>iferror(average(EBITDA_MARGIN!Y90:Y93),"")</f>
        <v>0.158217772</v>
      </c>
      <c r="Z207" s="25">
        <f>iferror(average(EBITDA_MARGIN!Z90:Z93),"")</f>
        <v>0.2679386588</v>
      </c>
      <c r="AA207" s="25">
        <f>iferror(average(EBITDA_MARGIN!AA90:AA93),"")</f>
        <v>0.001244262277</v>
      </c>
      <c r="AB207" s="25">
        <f>iferror(average(EBITDA_MARGIN!AB90:AB93),"")</f>
        <v>-0.00844370845</v>
      </c>
      <c r="AC207" s="25">
        <f>iferror(average(EBITDA_MARGIN!AC90:AC93),"")</f>
        <v>-1.077796906</v>
      </c>
      <c r="AD207" s="12"/>
    </row>
    <row r="208">
      <c r="A208" s="15" t="s">
        <v>121</v>
      </c>
      <c r="B208" s="14">
        <f>iferror(average(EBITDA_MARGIN!B91:B94),"")</f>
        <v>-62.94778944</v>
      </c>
      <c r="C208" s="14">
        <f>iferror(average(EBITDA_MARGIN!C91:C94),"")</f>
        <v>0.3872095569</v>
      </c>
      <c r="D208" s="14">
        <f>iferror(average(EBITDA_MARGIN!D91:D94),"")</f>
        <v>0.1092226576</v>
      </c>
      <c r="E208" s="14">
        <f>iferror(average(EBITDA_MARGIN!E91:E94),"")</f>
        <v>0.2668131098</v>
      </c>
      <c r="F208" s="14">
        <f>iferror(average(EBITDA_MARGIN!F91:F94),"")</f>
        <v>0.1197914096</v>
      </c>
      <c r="G208" s="14">
        <f>iferror(average(EBITDA_MARGIN!G91:G94),"")</f>
        <v>0.04820690801</v>
      </c>
      <c r="H208" s="14">
        <f>iferror(average(EBITDA_MARGIN!H91:H94),"")</f>
        <v>0.1993528149</v>
      </c>
      <c r="I208" s="14">
        <f>iferror(average(EBITDA_MARGIN!I91:I94),"")</f>
        <v>-0.05363229029</v>
      </c>
      <c r="J208" s="14">
        <f>iferror(average(EBITDA_MARGIN!J91:J94),"")</f>
        <v>-0.2882862213</v>
      </c>
      <c r="K208" s="14" t="str">
        <f>iferror(average(EBITDA_MARGIN!K91:K94),"")</f>
        <v/>
      </c>
      <c r="L208" s="14">
        <f>iferror(average(EBITDA_MARGIN!L91:L94),"")</f>
        <v>0.1642794924</v>
      </c>
      <c r="M208" s="14" t="str">
        <f>iferror(average(EBITDA_MARGIN!M91:M94),"")</f>
        <v/>
      </c>
      <c r="N208" s="14">
        <f>iferror(average(EBITDA_MARGIN!N91:N94),"")</f>
        <v>-0.006548909692</v>
      </c>
      <c r="O208" s="14">
        <f>iferror(average(EBITDA_MARGIN!O91:O94),"")</f>
        <v>0.1362863551</v>
      </c>
      <c r="P208" s="14" t="str">
        <f>iferror(average(EBITDA_MARGIN!P91:P94),"")</f>
        <v/>
      </c>
      <c r="Q208" s="14" t="str">
        <f>iferror(average(EBITDA_MARGIN!Q91:Q94),"")</f>
        <v/>
      </c>
      <c r="R208" s="14"/>
      <c r="S208" s="14">
        <f>iferror(average(EBITDA_MARGIN!S91:S94),"")</f>
        <v>0.1586341797</v>
      </c>
      <c r="T208" s="14">
        <f>iferror(average(EBITDA_MARGIN!T91:T94),"")</f>
        <v>0.2395795503</v>
      </c>
      <c r="U208" s="14">
        <f>iferror(average(EBITDA_MARGIN!U91:U94),"")</f>
        <v>-0.1742293628</v>
      </c>
      <c r="V208" s="14" t="str">
        <f>iferror(average(EBITDA_MARGIN!V91:V94),"")</f>
        <v/>
      </c>
      <c r="W208" s="14" t="str">
        <f>iferror(average(EBITDA_MARGIN!W91:W94),"")</f>
        <v/>
      </c>
      <c r="X208" s="25">
        <f>iferror(average(EBITDA_MARGIN!X91:X94),"")</f>
        <v>0.1906142534</v>
      </c>
      <c r="Y208" s="25">
        <f>iferror(average(EBITDA_MARGIN!Y91:Y94),"")</f>
        <v>0.1561474383</v>
      </c>
      <c r="Z208" s="25">
        <f>iferror(average(EBITDA_MARGIN!Z91:Z94),"")</f>
        <v>0.2929178529</v>
      </c>
      <c r="AA208" s="25">
        <f>iferror(average(EBITDA_MARGIN!AA91:AA94),"")</f>
        <v>-0.0008790300551</v>
      </c>
      <c r="AB208" s="25">
        <f>iferror(average(EBITDA_MARGIN!AB91:AB94),"")</f>
        <v>-0.0008045444572</v>
      </c>
      <c r="AC208" s="25">
        <f>iferror(average(EBITDA_MARGIN!AC91:AC94),"")</f>
        <v>-1.0924213</v>
      </c>
      <c r="AD208" s="12"/>
    </row>
    <row r="209">
      <c r="A209" s="15" t="s">
        <v>122</v>
      </c>
      <c r="B209" s="14">
        <f>iferror(average(EBITDA_MARGIN!B92:B95),"")</f>
        <v>-34.48701458</v>
      </c>
      <c r="C209" s="14">
        <f>iferror(average(EBITDA_MARGIN!C92:C95),"")</f>
        <v>0.2230183221</v>
      </c>
      <c r="D209" s="14">
        <f>iferror(average(EBITDA_MARGIN!D92:D95),"")</f>
        <v>0.1142455777</v>
      </c>
      <c r="E209" s="14">
        <f>iferror(average(EBITDA_MARGIN!E92:E95),"")</f>
        <v>-0.1805855883</v>
      </c>
      <c r="F209" s="14">
        <f>iferror(average(EBITDA_MARGIN!F92:F95),"")</f>
        <v>0.0735693447</v>
      </c>
      <c r="G209" s="14">
        <f>iferror(average(EBITDA_MARGIN!G92:G95),"")</f>
        <v>-0.3532560151</v>
      </c>
      <c r="H209" s="14">
        <f>iferror(average(EBITDA_MARGIN!H92:H95),"")</f>
        <v>0.1929273352</v>
      </c>
      <c r="I209" s="14">
        <f>iferror(average(EBITDA_MARGIN!I92:I95),"")</f>
        <v>-0.1057748703</v>
      </c>
      <c r="J209" s="14">
        <f>iferror(average(EBITDA_MARGIN!J92:J95),"")</f>
        <v>-1.010027711</v>
      </c>
      <c r="K209" s="14" t="str">
        <f>iferror(average(EBITDA_MARGIN!K92:K95),"")</f>
        <v/>
      </c>
      <c r="L209" s="14">
        <f>iferror(average(EBITDA_MARGIN!L92:L95),"")</f>
        <v>1.62552994</v>
      </c>
      <c r="M209" s="14" t="str">
        <f>iferror(average(EBITDA_MARGIN!M92:M95),"")</f>
        <v/>
      </c>
      <c r="N209" s="14">
        <f>iferror(average(EBITDA_MARGIN!N92:N95),"")</f>
        <v>-0.09532040624</v>
      </c>
      <c r="O209" s="14">
        <f>iferror(average(EBITDA_MARGIN!O92:O95),"")</f>
        <v>-0.795303456</v>
      </c>
      <c r="P209" s="14" t="str">
        <f>iferror(average(EBITDA_MARGIN!P92:P95),"")</f>
        <v/>
      </c>
      <c r="Q209" s="14" t="str">
        <f>iferror(average(EBITDA_MARGIN!Q92:Q95),"")</f>
        <v/>
      </c>
      <c r="R209" s="14"/>
      <c r="S209" s="14">
        <f>iferror(average(EBITDA_MARGIN!S92:S95),"")</f>
        <v>0.01208486021</v>
      </c>
      <c r="T209" s="14">
        <f>iferror(average(EBITDA_MARGIN!T92:T95),"")</f>
        <v>0.2628015048</v>
      </c>
      <c r="U209" s="14">
        <f>iferror(average(EBITDA_MARGIN!U92:U95),"")</f>
        <v>-0.1057096136</v>
      </c>
      <c r="V209" s="14" t="str">
        <f>iferror(average(EBITDA_MARGIN!V92:V95),"")</f>
        <v/>
      </c>
      <c r="W209" s="14" t="str">
        <f>iferror(average(EBITDA_MARGIN!W92:W95),"")</f>
        <v/>
      </c>
      <c r="X209" s="25">
        <f>iferror(average(EBITDA_MARGIN!X92:X95),"")</f>
        <v>0.206860034</v>
      </c>
      <c r="Y209" s="25">
        <f>iferror(average(EBITDA_MARGIN!Y92:Y95),"")</f>
        <v>-0.1384640813</v>
      </c>
      <c r="Z209" s="25">
        <f>iferror(average(EBITDA_MARGIN!Z92:Z95),"")</f>
        <v>0.1099903134</v>
      </c>
      <c r="AA209" s="25">
        <f>iferror(average(EBITDA_MARGIN!AA92:AA95),"")</f>
        <v>-0.0200353293</v>
      </c>
      <c r="AB209" s="25">
        <f>iferror(average(EBITDA_MARGIN!AB92:AB95),"")</f>
        <v>-0.01305643192</v>
      </c>
      <c r="AC209" s="25">
        <f>iferror(average(EBITDA_MARGIN!AC92:AC95),"")</f>
        <v>-1.069952752</v>
      </c>
      <c r="AD209" s="12"/>
    </row>
    <row r="210">
      <c r="A210" s="15" t="s">
        <v>123</v>
      </c>
      <c r="B210" s="14">
        <f>iferror(average(EBITDA_MARGIN!B93:B96),"")</f>
        <v>-15.22186142</v>
      </c>
      <c r="C210" s="14">
        <f>iferror(average(EBITDA_MARGIN!C93:C96),"")</f>
        <v>0.2275782066</v>
      </c>
      <c r="D210" s="14">
        <f>iferror(average(EBITDA_MARGIN!D93:D96),"")</f>
        <v>-0.08989983771</v>
      </c>
      <c r="E210" s="14">
        <f>iferror(average(EBITDA_MARGIN!E93:E96),"")</f>
        <v>-0.08562394174</v>
      </c>
      <c r="F210" s="14">
        <f>iferror(average(EBITDA_MARGIN!F93:F96),"")</f>
        <v>-0.7251895918</v>
      </c>
      <c r="G210" s="14">
        <f>iferror(average(EBITDA_MARGIN!G93:G96),"")</f>
        <v>-0.7845804098</v>
      </c>
      <c r="H210" s="14">
        <f>iferror(average(EBITDA_MARGIN!H93:H96),"")</f>
        <v>-0.07628804226</v>
      </c>
      <c r="I210" s="14">
        <f>iferror(average(EBITDA_MARGIN!I93:I96),"")</f>
        <v>1.61149927</v>
      </c>
      <c r="J210" s="14">
        <f>iferror(average(EBITDA_MARGIN!J93:J96),"")</f>
        <v>-2.298782701</v>
      </c>
      <c r="K210" s="14" t="str">
        <f>iferror(average(EBITDA_MARGIN!K93:K96),"")</f>
        <v/>
      </c>
      <c r="L210" s="14">
        <f>iferror(average(EBITDA_MARGIN!L93:L96),"")</f>
        <v>0.003098291205</v>
      </c>
      <c r="M210" s="14" t="str">
        <f>iferror(average(EBITDA_MARGIN!M93:M96),"")</f>
        <v/>
      </c>
      <c r="N210" s="14">
        <f>iferror(average(EBITDA_MARGIN!N93:N96),"")</f>
        <v>-4.746255588</v>
      </c>
      <c r="O210" s="14">
        <f>iferror(average(EBITDA_MARGIN!O93:O96),"")</f>
        <v>-1.726893267</v>
      </c>
      <c r="P210" s="14" t="str">
        <f>iferror(average(EBITDA_MARGIN!P93:P96),"")</f>
        <v/>
      </c>
      <c r="Q210" s="14" t="str">
        <f>iferror(average(EBITDA_MARGIN!Q93:Q96),"")</f>
        <v/>
      </c>
      <c r="R210" s="14"/>
      <c r="S210" s="14">
        <f>iferror(average(EBITDA_MARGIN!S93:S96),"")</f>
        <v>-0.1344644593</v>
      </c>
      <c r="T210" s="14">
        <f>iferror(average(EBITDA_MARGIN!T93:T96),"")</f>
        <v>0.337603731</v>
      </c>
      <c r="U210" s="14">
        <f>iferror(average(EBITDA_MARGIN!U93:U96),"")</f>
        <v>-0.1706463571</v>
      </c>
      <c r="V210" s="14" t="str">
        <f>iferror(average(EBITDA_MARGIN!V93:V96),"")</f>
        <v/>
      </c>
      <c r="W210" s="14" t="str">
        <f>iferror(average(EBITDA_MARGIN!W93:W96),"")</f>
        <v/>
      </c>
      <c r="X210" s="25">
        <f>iferror(average(EBITDA_MARGIN!X93:X96),"")</f>
        <v>0.2231058146</v>
      </c>
      <c r="Y210" s="25">
        <f>iferror(average(EBITDA_MARGIN!Y93:Y96),"")</f>
        <v>-0.4330756009</v>
      </c>
      <c r="Z210" s="25">
        <f>iferror(average(EBITDA_MARGIN!Z93:Z96),"")</f>
        <v>-0.0729372262</v>
      </c>
      <c r="AA210" s="25">
        <f>iferror(average(EBITDA_MARGIN!AA93:AA96),"")</f>
        <v>-0.03919162854</v>
      </c>
      <c r="AB210" s="25">
        <f>iferror(average(EBITDA_MARGIN!AB93:AB96),"")</f>
        <v>-0.02530831938</v>
      </c>
      <c r="AC210" s="25">
        <f>iferror(average(EBITDA_MARGIN!AC93:AC96),"")</f>
        <v>-1.047484204</v>
      </c>
      <c r="AD210" s="12"/>
    </row>
    <row r="211">
      <c r="A211" s="15" t="s">
        <v>124</v>
      </c>
      <c r="B211" s="14">
        <f>iferror(average(EBITDA_MARGIN!B94:B97),"")</f>
        <v>-0.6035658934</v>
      </c>
      <c r="C211" s="14">
        <f>iferror(average(EBITDA_MARGIN!C94:C97),"")</f>
        <v>0.1894378748</v>
      </c>
      <c r="D211" s="14">
        <f>iferror(average(EBITDA_MARGIN!D94:D97),"")</f>
        <v>-0.1037692607</v>
      </c>
      <c r="E211" s="14">
        <f>iferror(average(EBITDA_MARGIN!E94:E97),"")</f>
        <v>-0.01608197928</v>
      </c>
      <c r="F211" s="14">
        <f>iferror(average(EBITDA_MARGIN!F94:F97),"")</f>
        <v>-0.8638562687</v>
      </c>
      <c r="G211" s="14">
        <f>iferror(average(EBITDA_MARGIN!G94:G97),"")</f>
        <v>-0.7946009627</v>
      </c>
      <c r="H211" s="14">
        <f>iferror(average(EBITDA_MARGIN!H94:H97),"")</f>
        <v>-0.1518423863</v>
      </c>
      <c r="I211" s="14">
        <f>iferror(average(EBITDA_MARGIN!I94:I97),"")</f>
        <v>0.6016022224</v>
      </c>
      <c r="J211" s="14">
        <f>iferror(average(EBITDA_MARGIN!J94:J97),"")</f>
        <v>-2.452445903</v>
      </c>
      <c r="K211" s="14" t="str">
        <f>iferror(average(EBITDA_MARGIN!K94:K97),"")</f>
        <v/>
      </c>
      <c r="L211" s="14">
        <f>iferror(average(EBITDA_MARGIN!L94:L97),"")</f>
        <v>-1.518930852</v>
      </c>
      <c r="M211" s="14" t="str">
        <f>iferror(average(EBITDA_MARGIN!M94:M97),"")</f>
        <v/>
      </c>
      <c r="N211" s="14">
        <f>iferror(average(EBITDA_MARGIN!N94:N97),"")</f>
        <v>-5.450603229</v>
      </c>
      <c r="O211" s="14">
        <f>iferror(average(EBITDA_MARGIN!O94:O97),"")</f>
        <v>-3.324817831</v>
      </c>
      <c r="P211" s="14" t="str">
        <f>iferror(average(EBITDA_MARGIN!P94:P97),"")</f>
        <v/>
      </c>
      <c r="Q211" s="14" t="str">
        <f>iferror(average(EBITDA_MARGIN!Q94:Q97),"")</f>
        <v/>
      </c>
      <c r="R211" s="14"/>
      <c r="S211" s="14">
        <f>iferror(average(EBITDA_MARGIN!S94:S97),"")</f>
        <v>-0.2810137787</v>
      </c>
      <c r="T211" s="14">
        <f>iferror(average(EBITDA_MARGIN!T94:T97),"")</f>
        <v>0.4124059572</v>
      </c>
      <c r="U211" s="14">
        <f>iferror(average(EBITDA_MARGIN!U94:U97),"")</f>
        <v>-0.4008618643</v>
      </c>
      <c r="V211" s="14" t="str">
        <f>iferror(average(EBITDA_MARGIN!V94:V97),"")</f>
        <v/>
      </c>
      <c r="W211" s="14" t="str">
        <f>iferror(average(EBITDA_MARGIN!W94:W97),"")</f>
        <v/>
      </c>
      <c r="X211" s="25">
        <f>iferror(average(EBITDA_MARGIN!X94:X97),"")</f>
        <v>0.03637208812</v>
      </c>
      <c r="Y211" s="25">
        <f>iferror(average(EBITDA_MARGIN!Y94:Y97),"")</f>
        <v>-0.7276871205</v>
      </c>
      <c r="Z211" s="25">
        <f>iferror(average(EBITDA_MARGIN!Z94:Z97),"")</f>
        <v>-0.2558647658</v>
      </c>
      <c r="AA211" s="25">
        <f>iferror(average(EBITDA_MARGIN!AA94:AA97),"")</f>
        <v>-0.05834792778</v>
      </c>
      <c r="AB211" s="25">
        <f>iferror(average(EBITDA_MARGIN!AB94:AB97),"")</f>
        <v>-0.03756020684</v>
      </c>
      <c r="AC211" s="25">
        <f>iferror(average(EBITDA_MARGIN!AC94:AC97),"")</f>
        <v>-1.025015656</v>
      </c>
      <c r="AD211" s="12"/>
    </row>
    <row r="212">
      <c r="A212" s="15" t="s">
        <v>125</v>
      </c>
      <c r="B212" s="14">
        <f>iferror(average(EBITDA_MARGIN!B95:B98),"")</f>
        <v>-1.688437222</v>
      </c>
      <c r="C212" s="14">
        <f>iferror(average(EBITDA_MARGIN!C95:C98),"")</f>
        <v>0.1325935771</v>
      </c>
      <c r="D212" s="14">
        <f>iferror(average(EBITDA_MARGIN!D95:D98),"")</f>
        <v>-0.1870233244</v>
      </c>
      <c r="E212" s="14">
        <f>iferror(average(EBITDA_MARGIN!E95:E98),"")</f>
        <v>-0.04752001847</v>
      </c>
      <c r="F212" s="14">
        <f>iferror(average(EBITDA_MARGIN!F95:F98),"")</f>
        <v>-1.102919573</v>
      </c>
      <c r="G212" s="14">
        <f>iferror(average(EBITDA_MARGIN!G95:G98),"")</f>
        <v>-0.8792126119</v>
      </c>
      <c r="H212" s="14">
        <f>iferror(average(EBITDA_MARGIN!H95:H98),"")</f>
        <v>-0.3008173293</v>
      </c>
      <c r="I212" s="14">
        <f>iferror(average(EBITDA_MARGIN!I95:I98),"")</f>
        <v>0.4387505231</v>
      </c>
      <c r="J212" s="14">
        <f>iferror(average(EBITDA_MARGIN!J95:J98),"")</f>
        <v>-2.417776396</v>
      </c>
      <c r="K212" s="14" t="str">
        <f>iferror(average(EBITDA_MARGIN!K95:K98),"")</f>
        <v/>
      </c>
      <c r="L212" s="14">
        <f>iferror(average(EBITDA_MARGIN!L95:L98),"")</f>
        <v>-4.36173742</v>
      </c>
      <c r="M212" s="14" t="str">
        <f>iferror(average(EBITDA_MARGIN!M95:M98),"")</f>
        <v/>
      </c>
      <c r="N212" s="14">
        <f>iferror(average(EBITDA_MARGIN!N95:N98),"")</f>
        <v>-5.416777984</v>
      </c>
      <c r="O212" s="14">
        <f>iferror(average(EBITDA_MARGIN!O95:O98),"")</f>
        <v>-4.922742394</v>
      </c>
      <c r="P212" s="14" t="str">
        <f>iferror(average(EBITDA_MARGIN!P95:P98),"")</f>
        <v/>
      </c>
      <c r="Q212" s="14" t="str">
        <f>iferror(average(EBITDA_MARGIN!Q95:Q98),"")</f>
        <v/>
      </c>
      <c r="R212" s="14"/>
      <c r="S212" s="14">
        <f>iferror(average(EBITDA_MARGIN!S95:S98),"")</f>
        <v>-0.4275630982</v>
      </c>
      <c r="T212" s="14">
        <f>iferror(average(EBITDA_MARGIN!T95:T98),"")</f>
        <v>0.4872081833</v>
      </c>
      <c r="U212" s="14">
        <f>iferror(average(EBITDA_MARGIN!U95:U98),"")</f>
        <v>-0.5976122593</v>
      </c>
      <c r="V212" s="14" t="str">
        <f>iferror(average(EBITDA_MARGIN!V95:V98),"")</f>
        <v/>
      </c>
      <c r="W212" s="14" t="str">
        <f>iferror(average(EBITDA_MARGIN!W95:W98),"")</f>
        <v/>
      </c>
      <c r="X212" s="25">
        <f>iferror(average(EBITDA_MARGIN!X95:X98),"")</f>
        <v>-0.1503616384</v>
      </c>
      <c r="Y212" s="25">
        <f>iferror(average(EBITDA_MARGIN!Y95:Y98),"")</f>
        <v>-1.02229864</v>
      </c>
      <c r="Z212" s="25">
        <f>iferror(average(EBITDA_MARGIN!Z95:Z98),"")</f>
        <v>-0.4387923053</v>
      </c>
      <c r="AA212" s="25">
        <f>iferror(average(EBITDA_MARGIN!AA95:AA98),"")</f>
        <v>-0.07750422702</v>
      </c>
      <c r="AB212" s="25">
        <f>iferror(average(EBITDA_MARGIN!AB95:AB98),"")</f>
        <v>-0.04981209429</v>
      </c>
      <c r="AC212" s="25">
        <f>iferror(average(EBITDA_MARGIN!AC95:AC98),"")</f>
        <v>-1.002547108</v>
      </c>
      <c r="AD212" s="12"/>
    </row>
    <row r="213">
      <c r="A213" s="15" t="s">
        <v>126</v>
      </c>
      <c r="B213" s="14">
        <f>iferror(average(EBITDA_MARGIN!B96:B99),"")</f>
        <v>-1.911023407</v>
      </c>
      <c r="C213" s="14">
        <f>iferror(average(EBITDA_MARGIN!C96:C99),"")</f>
        <v>0.1505719561</v>
      </c>
      <c r="D213" s="14">
        <f>iferror(average(EBITDA_MARGIN!D96:D99),"")</f>
        <v>-0.1893699917</v>
      </c>
      <c r="E213" s="14">
        <f>iferror(average(EBITDA_MARGIN!E96:E99),"")</f>
        <v>0.336024915</v>
      </c>
      <c r="F213" s="14">
        <f>iferror(average(EBITDA_MARGIN!F96:F99),"")</f>
        <v>-1.273760949</v>
      </c>
      <c r="G213" s="14">
        <f>iferror(average(EBITDA_MARGIN!G96:G99),"")</f>
        <v>-0.5460178461</v>
      </c>
      <c r="H213" s="14">
        <f>iferror(average(EBITDA_MARGIN!H96:H99),"")</f>
        <v>-0.4757204899</v>
      </c>
      <c r="I213" s="14">
        <f>iferror(average(EBITDA_MARGIN!I96:I99),"")</f>
        <v>0.3066793319</v>
      </c>
      <c r="J213" s="14">
        <f>iferror(average(EBITDA_MARGIN!J96:J99),"")</f>
        <v>-1.613922529</v>
      </c>
      <c r="K213" s="14" t="str">
        <f>iferror(average(EBITDA_MARGIN!K96:K99),"")</f>
        <v/>
      </c>
      <c r="L213" s="14">
        <f>iferror(average(EBITDA_MARGIN!L96:L99),"")</f>
        <v>-6.399315772</v>
      </c>
      <c r="M213" s="14" t="str">
        <f>iferror(average(EBITDA_MARGIN!M96:M99),"")</f>
        <v/>
      </c>
      <c r="N213" s="14">
        <f>iferror(average(EBITDA_MARGIN!N96:N99),"")</f>
        <v>-5.479418897</v>
      </c>
      <c r="O213" s="14">
        <f>iferror(average(EBITDA_MARGIN!O96:O99),"")</f>
        <v>-4.559672839</v>
      </c>
      <c r="P213" s="14">
        <f>iferror(average(EBITDA_MARGIN!P96:P99),"")</f>
        <v>0.08771929825</v>
      </c>
      <c r="Q213" s="14" t="str">
        <f>iferror(average(EBITDA_MARGIN!Q96:Q99),"")</f>
        <v/>
      </c>
      <c r="R213" s="14"/>
      <c r="S213" s="14">
        <f>iferror(average(EBITDA_MARGIN!S96:S99),"")</f>
        <v>-0.3456477828</v>
      </c>
      <c r="T213" s="14">
        <f>iferror(average(EBITDA_MARGIN!T96:T99),"")</f>
        <v>0.5620104095</v>
      </c>
      <c r="U213" s="14">
        <f>iferror(average(EBITDA_MARGIN!U96:U99),"")</f>
        <v>-0.830369816</v>
      </c>
      <c r="V213" s="14" t="str">
        <f>iferror(average(EBITDA_MARGIN!V96:V99),"")</f>
        <v/>
      </c>
      <c r="W213" s="14" t="str">
        <f>iferror(average(EBITDA_MARGIN!W96:W99),"")</f>
        <v/>
      </c>
      <c r="X213" s="25">
        <f>iferror(average(EBITDA_MARGIN!X96:X99),"")</f>
        <v>-0.3370953649</v>
      </c>
      <c r="Y213" s="25">
        <f>iferror(average(EBITDA_MARGIN!Y96:Y99),"")</f>
        <v>-0.9676194213</v>
      </c>
      <c r="Z213" s="25">
        <f>iferror(average(EBITDA_MARGIN!Z96:Z99),"")</f>
        <v>-0.3804197888</v>
      </c>
      <c r="AA213" s="25">
        <f>iferror(average(EBITDA_MARGIN!AA96:AA99),"")</f>
        <v>-0.05907779171</v>
      </c>
      <c r="AB213" s="25">
        <f>iferror(average(EBITDA_MARGIN!AB96:AB99),"")</f>
        <v>-0.6574662392</v>
      </c>
      <c r="AC213" s="25">
        <f>iferror(average(EBITDA_MARGIN!AC96:AC99),"")</f>
        <v>-1.028473591</v>
      </c>
      <c r="AD213" s="12"/>
    </row>
    <row r="214">
      <c r="A214" s="15" t="s">
        <v>127</v>
      </c>
      <c r="B214" s="14">
        <f>iferror(average(EBITDA_MARGIN!B97:B100),"")</f>
        <v>-1.444208191</v>
      </c>
      <c r="C214" s="14">
        <f>iferror(average(EBITDA_MARGIN!C97:C100),"")</f>
        <v>0.06289007778</v>
      </c>
      <c r="D214" s="14">
        <f>iferror(average(EBITDA_MARGIN!D97:D100),"")</f>
        <v>0.01935412376</v>
      </c>
      <c r="E214" s="14">
        <f>iferror(average(EBITDA_MARGIN!E97:E100),"")</f>
        <v>0.2197478943</v>
      </c>
      <c r="F214" s="14">
        <f>iferror(average(EBITDA_MARGIN!F97:F100),"")</f>
        <v>-0.5642225425</v>
      </c>
      <c r="G214" s="14">
        <f>iferror(average(EBITDA_MARGIN!G97:G100),"")</f>
        <v>-0.1353597689</v>
      </c>
      <c r="H214" s="14">
        <f>iferror(average(EBITDA_MARGIN!H97:H100),"")</f>
        <v>-0.2561316081</v>
      </c>
      <c r="I214" s="14">
        <f>iferror(average(EBITDA_MARGIN!I97:I100),"")</f>
        <v>-1.52087666</v>
      </c>
      <c r="J214" s="14">
        <f>iferror(average(EBITDA_MARGIN!J97:J100),"")</f>
        <v>-0.4403128466</v>
      </c>
      <c r="K214" s="25"/>
      <c r="L214" s="14">
        <f>iferror(average(EBITDA_MARGIN!L97:L100),"")</f>
        <v>-4.961481074</v>
      </c>
      <c r="M214" s="14" t="str">
        <f>iferror(average(EBITDA_MARGIN!M97:M100),"")</f>
        <v/>
      </c>
      <c r="N214" s="14">
        <f>iferror(average(EBITDA_MARGIN!N97:N100),"")</f>
        <v>-0.9300587069</v>
      </c>
      <c r="O214" s="14">
        <f>iferror(average(EBITDA_MARGIN!O97:O100),"")</f>
        <v>-4.011357391</v>
      </c>
      <c r="P214" s="14">
        <f>iferror(average(EBITDA_MARGIN!P97:P100),"")</f>
        <v>0.08771929825</v>
      </c>
      <c r="Q214" s="14" t="str">
        <f>iferror(average(EBITDA_MARGIN!Q97:Q100),"")</f>
        <v/>
      </c>
      <c r="R214" s="14"/>
      <c r="S214" s="14">
        <f>iferror(average(EBITDA_MARGIN!S97:S100),"")</f>
        <v>-0.2637324674</v>
      </c>
      <c r="T214" s="14">
        <f>iferror(average(EBITDA_MARGIN!T97:T100),"")</f>
        <v>0.5654481665</v>
      </c>
      <c r="U214" s="14">
        <f>iferror(average(EBITDA_MARGIN!U97:U100),"")</f>
        <v>-0.7907553202</v>
      </c>
      <c r="V214" s="14" t="str">
        <f>iferror(average(EBITDA_MARGIN!V97:V100),"")</f>
        <v/>
      </c>
      <c r="W214" s="14" t="str">
        <f>iferror(average(EBITDA_MARGIN!W97:W100),"")</f>
        <v/>
      </c>
      <c r="X214" s="25">
        <f>iferror(average(EBITDA_MARGIN!X97:X100),"")</f>
        <v>-0.5238290914</v>
      </c>
      <c r="Y214" s="25">
        <f>iferror(average(EBITDA_MARGIN!Y97:Y100),"")</f>
        <v>-0.9129402025</v>
      </c>
      <c r="Z214" s="25">
        <f>iferror(average(EBITDA_MARGIN!Z97:Z100),"")</f>
        <v>-0.3220472723</v>
      </c>
      <c r="AA214" s="25">
        <f>iferror(average(EBITDA_MARGIN!AA97:AA100),"")</f>
        <v>-0.04065135639</v>
      </c>
      <c r="AB214" s="25">
        <f>iferror(average(EBITDA_MARGIN!AB97:AB100),"")</f>
        <v>-1.265120384</v>
      </c>
      <c r="AC214" s="25">
        <f>iferror(average(EBITDA_MARGIN!AC97:AC100),"")</f>
        <v>-1.054400073</v>
      </c>
      <c r="AD214" s="12"/>
    </row>
    <row r="215">
      <c r="A215" s="15" t="s">
        <v>128</v>
      </c>
      <c r="B215" s="14">
        <f>iferror(average(EBITDA_MARGIN!B98:B101),"")</f>
        <v>-1.40638251</v>
      </c>
      <c r="C215" s="14">
        <f>iferror(average(EBITDA_MARGIN!C98:C101),"")</f>
        <v>0.03557174367</v>
      </c>
      <c r="D215" s="14">
        <f>iferror(average(EBITDA_MARGIN!D98:D101),"")</f>
        <v>0.04063060726</v>
      </c>
      <c r="E215" s="14">
        <f>iferror(average(EBITDA_MARGIN!E98:E101),"")</f>
        <v>0.08056102827</v>
      </c>
      <c r="F215" s="14">
        <f>iferror(average(EBITDA_MARGIN!F98:F101),"")</f>
        <v>-0.4657208049</v>
      </c>
      <c r="G215" s="14">
        <f>iferror(average(EBITDA_MARGIN!G98:G101),"")</f>
        <v>-0.1120610105</v>
      </c>
      <c r="H215" s="14">
        <f>iferror(average(EBITDA_MARGIN!H98:H101),"")</f>
        <v>-0.2282170656</v>
      </c>
      <c r="I215" s="14">
        <f>iferror(average(EBITDA_MARGIN!I98:I101),"")</f>
        <v>-0.5805477088</v>
      </c>
      <c r="J215" s="14">
        <f>iferror(average(EBITDA_MARGIN!J98:J101),"")</f>
        <v>-0.2409100786</v>
      </c>
      <c r="K215" s="25"/>
      <c r="L215" s="14">
        <f>iferror(average(EBITDA_MARGIN!L98:L101),"")</f>
        <v>-3.582112765</v>
      </c>
      <c r="M215" s="14" t="str">
        <f>iferror(average(EBITDA_MARGIN!M98:M101),"")</f>
        <v/>
      </c>
      <c r="N215" s="14">
        <f>iferror(average(EBITDA_MARGIN!N98:N101),"")</f>
        <v>-0.2362583493</v>
      </c>
      <c r="O215" s="14">
        <f>iferror(average(EBITDA_MARGIN!O98:O101),"")</f>
        <v>-2.75629087</v>
      </c>
      <c r="P215" s="14">
        <f>iferror(average(EBITDA_MARGIN!P98:P101),"")</f>
        <v>0.08771929825</v>
      </c>
      <c r="Q215" s="14" t="str">
        <f>iferror(average(EBITDA_MARGIN!Q98:Q101),"")</f>
        <v/>
      </c>
      <c r="R215" s="14"/>
      <c r="S215" s="14">
        <f>iferror(average(EBITDA_MARGIN!S98:S101),"")</f>
        <v>-0.1818171521</v>
      </c>
      <c r="T215" s="14">
        <f>iferror(average(EBITDA_MARGIN!T98:T101),"")</f>
        <v>0.5688859235</v>
      </c>
      <c r="U215" s="14">
        <f>iferror(average(EBITDA_MARGIN!U98:U101),"")</f>
        <v>-0.5812938</v>
      </c>
      <c r="V215" s="14" t="str">
        <f>iferror(average(EBITDA_MARGIN!V98:V101),"")</f>
        <v/>
      </c>
      <c r="W215" s="14" t="str">
        <f>iferror(average(EBITDA_MARGIN!W98:W101),"")</f>
        <v/>
      </c>
      <c r="X215" s="25">
        <f>iferror(average(EBITDA_MARGIN!X98:X101),"")</f>
        <v>-0.5044071766</v>
      </c>
      <c r="Y215" s="25">
        <f>iferror(average(EBITDA_MARGIN!Y98:Y101),"")</f>
        <v>-0.8582609837</v>
      </c>
      <c r="Z215" s="25">
        <f>iferror(average(EBITDA_MARGIN!Z98:Z101),"")</f>
        <v>-0.2636747558</v>
      </c>
      <c r="AA215" s="25">
        <f>iferror(average(EBITDA_MARGIN!AA98:AA101),"")</f>
        <v>-0.02222492107</v>
      </c>
      <c r="AB215" s="25">
        <f>iferror(average(EBITDA_MARGIN!AB98:AB101),"")</f>
        <v>-1.872774529</v>
      </c>
      <c r="AC215" s="25">
        <f>iferror(average(EBITDA_MARGIN!AC98:AC101),"")</f>
        <v>-1.080326556</v>
      </c>
      <c r="AD215" s="12"/>
    </row>
    <row r="216">
      <c r="A216" s="15" t="s">
        <v>129</v>
      </c>
      <c r="B216" s="14">
        <f>iferror(average(EBITDA_MARGIN!B99:B102),"")</f>
        <v>-0.2324915047</v>
      </c>
      <c r="C216" s="14">
        <f>iferror(average(EBITDA_MARGIN!C99:C102),"")</f>
        <v>0.05453019567</v>
      </c>
      <c r="D216" s="14">
        <f>iferror(average(EBITDA_MARGIN!D99:D102),"")</f>
        <v>0.1333729428</v>
      </c>
      <c r="E216" s="14">
        <f>iferror(average(EBITDA_MARGIN!E99:E102),"")</f>
        <v>0.000369372102</v>
      </c>
      <c r="F216" s="14">
        <f>iferror(average(EBITDA_MARGIN!F99:F102),"")</f>
        <v>-0.2903380606</v>
      </c>
      <c r="G216" s="14">
        <f>iferror(average(EBITDA_MARGIN!G99:G102),"")</f>
        <v>0.02713278716</v>
      </c>
      <c r="H216" s="14">
        <f>iferror(average(EBITDA_MARGIN!H99:H102),"")</f>
        <v>-0.1392233549</v>
      </c>
      <c r="I216" s="14">
        <f>iferror(average(EBITDA_MARGIN!I99:I102),"")</f>
        <v>-0.4171427862</v>
      </c>
      <c r="J216" s="14">
        <f>iferror(average(EBITDA_MARGIN!J99:J102),"")</f>
        <v>-0.2460424214</v>
      </c>
      <c r="K216" s="25"/>
      <c r="L216" s="14">
        <f>iferror(average(EBITDA_MARGIN!L99:L102),"")</f>
        <v>-0.8023851134</v>
      </c>
      <c r="M216" s="14" t="str">
        <f>iferror(average(EBITDA_MARGIN!M99:M102),"")</f>
        <v/>
      </c>
      <c r="N216" s="14">
        <f>iferror(average(EBITDA_MARGIN!N99:N102),"")</f>
        <v>-0.2181793968</v>
      </c>
      <c r="O216" s="14">
        <f>iferror(average(EBITDA_MARGIN!O99:O102),"")</f>
        <v>-1.267410457</v>
      </c>
      <c r="P216" s="14">
        <f>iferror(average(EBITDA_MARGIN!P99:P102),"")</f>
        <v>0.1626481124</v>
      </c>
      <c r="Q216" s="14" t="str">
        <f>iferror(average(EBITDA_MARGIN!Q99:Q102),"")</f>
        <v/>
      </c>
      <c r="R216" s="14"/>
      <c r="S216" s="14">
        <f>iferror(average(EBITDA_MARGIN!S99:S102),"")</f>
        <v>-0.09990183667</v>
      </c>
      <c r="T216" s="14">
        <f>iferror(average(EBITDA_MARGIN!T99:T102),"")</f>
        <v>0.5723236805</v>
      </c>
      <c r="U216" s="14">
        <f>iferror(average(EBITDA_MARGIN!U99:U102),"")</f>
        <v>-0.4544793582</v>
      </c>
      <c r="V216" s="14" t="str">
        <f>iferror(average(EBITDA_MARGIN!V99:V102),"")</f>
        <v/>
      </c>
      <c r="W216" s="14" t="str">
        <f>iferror(average(EBITDA_MARGIN!W99:W102),"")</f>
        <v/>
      </c>
      <c r="X216" s="25">
        <f>iferror(average(EBITDA_MARGIN!X99:X102),"")</f>
        <v>-0.4849852618</v>
      </c>
      <c r="Y216" s="25">
        <f>iferror(average(EBITDA_MARGIN!Y99:Y102),"")</f>
        <v>-0.8035817649</v>
      </c>
      <c r="Z216" s="25">
        <f>iferror(average(EBITDA_MARGIN!Z99:Z102),"")</f>
        <v>-0.2053022392</v>
      </c>
      <c r="AA216" s="25">
        <f>iferror(average(EBITDA_MARGIN!AA99:AA102),"")</f>
        <v>-0.003798485758</v>
      </c>
      <c r="AB216" s="25">
        <f>iferror(average(EBITDA_MARGIN!AB99:AB102),"")</f>
        <v>-2.480428674</v>
      </c>
      <c r="AC216" s="25">
        <f>iferror(average(EBITDA_MARGIN!AC99:AC102),"")</f>
        <v>-1.106253038</v>
      </c>
      <c r="AD216" s="12"/>
    </row>
    <row r="217">
      <c r="A217" s="15" t="s">
        <v>130</v>
      </c>
      <c r="B217" s="14">
        <f>iferror(average(EBITDA_MARGIN!B100:B103),"")</f>
        <v>0.09480075239</v>
      </c>
      <c r="C217" s="14">
        <f>iferror(average(EBITDA_MARGIN!C100:C103),"")</f>
        <v>0.03668471949</v>
      </c>
      <c r="D217" s="14">
        <f>iferror(average(EBITDA_MARGIN!D100:D103),"")</f>
        <v>0.16065937</v>
      </c>
      <c r="E217" s="14">
        <f>iferror(average(EBITDA_MARGIN!E100:E103),"")</f>
        <v>-0.1548289732</v>
      </c>
      <c r="F217" s="14">
        <f>iferror(average(EBITDA_MARGIN!F100:F103),"")</f>
        <v>-0.126704659</v>
      </c>
      <c r="G217" s="14">
        <f>iferror(average(EBITDA_MARGIN!G100:G103),"")</f>
        <v>0.06811018987</v>
      </c>
      <c r="H217" s="14">
        <f>iferror(average(EBITDA_MARGIN!H100:H103),"")</f>
        <v>-0.0250259362</v>
      </c>
      <c r="I217" s="14">
        <f>iferror(average(EBITDA_MARGIN!I100:I103),"")</f>
        <v>-0.2637347849</v>
      </c>
      <c r="J217" s="14">
        <f>iferror(average(EBITDA_MARGIN!J100:J103),"")</f>
        <v>-0.2528681274</v>
      </c>
      <c r="K217" s="25">
        <f>iferror(average(EBITDA_MARGIN!K100:K103),"")</f>
        <v>-0.02891681437</v>
      </c>
      <c r="L217" s="14">
        <f>iferror(average(EBITDA_MARGIN!L100:L103),"")</f>
        <v>-0.3651011279</v>
      </c>
      <c r="M217" s="14">
        <f>iferror(average(EBITDA_MARGIN!M100:M103),"")</f>
        <v>-0.2406015038</v>
      </c>
      <c r="N217" s="14">
        <f>iferror(average(EBITDA_MARGIN!N100:N103),"")</f>
        <v>-0.02171765328</v>
      </c>
      <c r="O217" s="14">
        <f>iferror(average(EBITDA_MARGIN!O100:O103),"")</f>
        <v>-0.8483506738</v>
      </c>
      <c r="P217" s="14">
        <f>iferror(average(EBITDA_MARGIN!P100:P103),"")</f>
        <v>0.2375769266</v>
      </c>
      <c r="Q217" s="14" t="str">
        <f>iferror(average(EBITDA_MARGIN!Q100:Q103),"")</f>
        <v/>
      </c>
      <c r="R217" s="14"/>
      <c r="S217" s="14">
        <f>iferror(average(EBITDA_MARGIN!S100:S103),"")</f>
        <v>-0.08650155778</v>
      </c>
      <c r="T217" s="14">
        <f>iferror(average(EBITDA_MARGIN!T100:T103),"")</f>
        <v>0.5757614375</v>
      </c>
      <c r="U217" s="14">
        <f>iferror(average(EBITDA_MARGIN!U100:U103),"")</f>
        <v>-0.2415802999</v>
      </c>
      <c r="V217" s="14" t="str">
        <f>iferror(average(EBITDA_MARGIN!V100:V103),"")</f>
        <v/>
      </c>
      <c r="W217" s="14" t="str">
        <f>iferror(average(EBITDA_MARGIN!W100:W103),"")</f>
        <v/>
      </c>
      <c r="X217" s="25">
        <f>iferror(average(EBITDA_MARGIN!X100:X103),"")</f>
        <v>-0.465563347</v>
      </c>
      <c r="Y217" s="25">
        <f>iferror(average(EBITDA_MARGIN!Y100:Y103),"")</f>
        <v>-0.5748855523</v>
      </c>
      <c r="Z217" s="25">
        <f>iferror(average(EBITDA_MARGIN!Z100:Z103),"")</f>
        <v>-0.06635400812</v>
      </c>
      <c r="AA217" s="25">
        <f>iferror(average(EBITDA_MARGIN!AA100:AA103),"")</f>
        <v>0.007344977722</v>
      </c>
      <c r="AB217" s="25">
        <f>iferror(average(EBITDA_MARGIN!AB100:AB103),"")</f>
        <v>-3.520781128</v>
      </c>
      <c r="AC217" s="25">
        <f>iferror(average(EBITDA_MARGIN!AC100:AC103),"")</f>
        <v>-0.9357650659</v>
      </c>
      <c r="AD217" s="12"/>
    </row>
    <row r="218">
      <c r="A218" s="15" t="s">
        <v>131</v>
      </c>
      <c r="B218" s="14">
        <f>iferror(average(EBITDA_MARGIN!B101:B104),"")</f>
        <v>0.1509897764</v>
      </c>
      <c r="C218" s="14">
        <f>iferror(average(EBITDA_MARGIN!C101:C104),"")</f>
        <v>0.1080346544</v>
      </c>
      <c r="D218" s="14">
        <f>iferror(average(EBITDA_MARGIN!D101:D104),"")</f>
        <v>0.1857814793</v>
      </c>
      <c r="E218" s="14">
        <f>iferror(average(EBITDA_MARGIN!E101:E104),"")</f>
        <v>-0.1042073231</v>
      </c>
      <c r="F218" s="14">
        <f>iferror(average(EBITDA_MARGIN!F101:F104),"")</f>
        <v>-0.04599390848</v>
      </c>
      <c r="G218" s="14">
        <f>iferror(average(EBITDA_MARGIN!G101:G104),"")</f>
        <v>-0.02611220254</v>
      </c>
      <c r="H218" s="14">
        <f>iferror(average(EBITDA_MARGIN!H101:H104),"")</f>
        <v>-0.01276359709</v>
      </c>
      <c r="I218" s="14">
        <f>iferror(average(EBITDA_MARGIN!I101:I104),"")</f>
        <v>-0.1361439431</v>
      </c>
      <c r="J218" s="14">
        <f>iferror(average(EBITDA_MARGIN!J101:J104),"")</f>
        <v>-0.08027197994</v>
      </c>
      <c r="K218" s="25">
        <f>iferror(average(EBITDA_MARGIN!K101:K104),"")</f>
        <v>-0.002165260884</v>
      </c>
      <c r="L218" s="14">
        <f>iferror(average(EBITDA_MARGIN!L101:L104),"")</f>
        <v>-0.3053802025</v>
      </c>
      <c r="M218" s="14">
        <f>iferror(average(EBITDA_MARGIN!M101:M104),"")</f>
        <v>-0.3365507519</v>
      </c>
      <c r="N218" s="14">
        <f>iferror(average(EBITDA_MARGIN!N101:N104),"")</f>
        <v>0.1589501541</v>
      </c>
      <c r="O218" s="14">
        <f>iferror(average(EBITDA_MARGIN!O101:O104),"")</f>
        <v>-0.5133833635</v>
      </c>
      <c r="P218" s="14">
        <f>iferror(average(EBITDA_MARGIN!P101:P104),"")</f>
        <v>0.3189289553</v>
      </c>
      <c r="Q218" s="14" t="str">
        <f>iferror(average(EBITDA_MARGIN!Q101:Q104),"")</f>
        <v/>
      </c>
      <c r="R218" s="14"/>
      <c r="S218" s="14">
        <f>iferror(average(EBITDA_MARGIN!S101:S104),"")</f>
        <v>-0.07310127888</v>
      </c>
      <c r="T218" s="14">
        <f>iferror(average(EBITDA_MARGIN!T101:T104),"")</f>
        <v>0.5600743642</v>
      </c>
      <c r="U218" s="14">
        <f>iferror(average(EBITDA_MARGIN!U101:U104),"")</f>
        <v>-0.1768561321</v>
      </c>
      <c r="V218" s="14" t="str">
        <f>iferror(average(EBITDA_MARGIN!V101:V104),"")</f>
        <v/>
      </c>
      <c r="W218" s="14" t="str">
        <f>iferror(average(EBITDA_MARGIN!W101:W104),"")</f>
        <v/>
      </c>
      <c r="X218" s="25">
        <f>iferror(average(EBITDA_MARGIN!X101:X104),"")</f>
        <v>-0.4461414322</v>
      </c>
      <c r="Y218" s="25">
        <f>iferror(average(EBITDA_MARGIN!Y101:Y104),"")</f>
        <v>-0.3461893396</v>
      </c>
      <c r="Z218" s="25">
        <f>iferror(average(EBITDA_MARGIN!Z101:Z104),"")</f>
        <v>0.07259422299</v>
      </c>
      <c r="AA218" s="25">
        <f>iferror(average(EBITDA_MARGIN!AA101:AA104),"")</f>
        <v>0.0184884412</v>
      </c>
      <c r="AB218" s="25">
        <f>iferror(average(EBITDA_MARGIN!AB101:AB104),"")</f>
        <v>-4.561133581</v>
      </c>
      <c r="AC218" s="25">
        <f>iferror(average(EBITDA_MARGIN!AC101:AC104),"")</f>
        <v>-0.7652770933</v>
      </c>
      <c r="AD218" s="12"/>
    </row>
    <row r="219">
      <c r="A219" s="15" t="s">
        <v>132</v>
      </c>
      <c r="B219" s="14">
        <f>if(EBITDA_MARGIN!B105&lt;&gt;"",iferror(average(EBITDA_MARGIN!B102:B105),""),"")</f>
        <v>0.1660293982</v>
      </c>
      <c r="C219" s="14">
        <f>if(EBITDA_MARGIN!C105&lt;&gt;"",iferror(average(EBITDA_MARGIN!C102:C105),""),"")</f>
        <v>0.1461686592</v>
      </c>
      <c r="D219" s="14">
        <f>if(EBITDA_MARGIN!D105&lt;&gt;"",iferror(average(EBITDA_MARGIN!D102:D105),""),"")</f>
        <v>0.1873250946</v>
      </c>
      <c r="E219" s="14">
        <f>if(EBITDA_MARGIN!E105&lt;&gt;"",iferror(average(EBITDA_MARGIN!E102:E105),""),"")</f>
        <v>-0.04265572165</v>
      </c>
      <c r="F219" s="14">
        <f>if(EBITDA_MARGIN!F105&lt;&gt;"",iferror(average(EBITDA_MARGIN!F102:F105),""),"")</f>
        <v>-0.01470009282</v>
      </c>
      <c r="G219" s="14">
        <f>if(EBITDA_MARGIN!G105&lt;&gt;"",iferror(average(EBITDA_MARGIN!G102:G105),""),"")</f>
        <v>-0.1413319794</v>
      </c>
      <c r="H219" s="14">
        <f>if(EBITDA_MARGIN!H105&lt;&gt;"",iferror(average(EBITDA_MARGIN!H102:H105),""),"")</f>
        <v>-0.009456032727</v>
      </c>
      <c r="I219" s="14">
        <f>if(EBITDA_MARGIN!I105&lt;&gt;"",iferror(average(EBITDA_MARGIN!I102:I105),""),"")</f>
        <v>-0.08351072164</v>
      </c>
      <c r="J219" s="14">
        <f>if(EBITDA_MARGIN!J105&lt;&gt;"",iferror(average(EBITDA_MARGIN!J102:J105),""),"")</f>
        <v>-0.06210399076</v>
      </c>
      <c r="K219" s="14">
        <f>if(EBITDA_MARGIN!K105&lt;&gt;"",iferror(average(EBITDA_MARGIN!K102:K105),""),"")</f>
        <v>0.0245862926</v>
      </c>
      <c r="L219" s="14">
        <f>if(EBITDA_MARGIN!L105&lt;&gt;"",iferror(average(EBITDA_MARGIN!L102:L105),""),"")</f>
        <v>-0.1558560444</v>
      </c>
      <c r="M219" s="14">
        <f>if(EBITDA_MARGIN!M105&lt;&gt;"",iferror(average(EBITDA_MARGIN!M102:M105),""),"")</f>
        <v>-0.2506297942</v>
      </c>
      <c r="N219" s="14">
        <f>if(EBITDA_MARGIN!N105&lt;&gt;"",iferror(average(EBITDA_MARGIN!N102:N105),""),"")</f>
        <v>0.2392306438</v>
      </c>
      <c r="O219" s="14">
        <f>if(EBITDA_MARGIN!O105&lt;&gt;"",iferror(average(EBITDA_MARGIN!O102:O105),""),"")</f>
        <v>-0.1784160533</v>
      </c>
      <c r="P219" s="14">
        <f>if(EBITDA_MARGIN!P105&lt;&gt;"",iferror(average(EBITDA_MARGIN!P102:P105),""),"")</f>
        <v>0.4002809841</v>
      </c>
      <c r="Q219" s="14" t="str">
        <f>if(EBITDA_MARGIN!Q105&lt;&gt;"",iferror(average(EBITDA_MARGIN!Q102:Q105),""),"")</f>
        <v/>
      </c>
      <c r="R219" s="14"/>
      <c r="S219" s="14">
        <f>if(EBITDA_MARGIN!S105&lt;&gt;"",iferror(average(EBITDA_MARGIN!S102:S105),""),"")</f>
        <v>-0.05970099998</v>
      </c>
      <c r="T219" s="14">
        <f>if(EBITDA_MARGIN!T105&lt;&gt;"",iferror(average(EBITDA_MARGIN!T102:T105),""),"")</f>
        <v>0.5116599017</v>
      </c>
      <c r="U219" s="14">
        <f>if(EBITDA_MARGIN!U105&lt;&gt;"",iferror(average(EBITDA_MARGIN!U102:U105),""),"")</f>
        <v>-0.1192160066</v>
      </c>
      <c r="V219" s="14" t="str">
        <f>if(EBITDA_MARGIN!V105&lt;&gt;"",iferror(average(EBITDA_MARGIN!V102:V105),""),"")</f>
        <v/>
      </c>
      <c r="W219" s="14" t="str">
        <f>if(EBITDA_MARGIN!W105&lt;&gt;"",iferror(average(EBITDA_MARGIN!W102:W105),""),"")</f>
        <v/>
      </c>
      <c r="X219" s="14">
        <f>if(EBITDA_MARGIN!X105&lt;&gt;"",iferror(average(EBITDA_MARGIN!X102:X105),""),"")</f>
        <v>-0.3597849755</v>
      </c>
      <c r="Y219" s="14">
        <f>if(EBITDA_MARGIN!Y105&lt;&gt;"",iferror(average(EBITDA_MARGIN!Y102:Y105),""),"")</f>
        <v>-0.117493127</v>
      </c>
      <c r="Z219" s="14">
        <f>if(EBITDA_MARGIN!Z105&lt;&gt;"",iferror(average(EBITDA_MARGIN!Z102:Z105),""),"")</f>
        <v>0.2115424541</v>
      </c>
      <c r="AA219" s="14">
        <f>if(EBITDA_MARGIN!AA105&lt;&gt;"",iferror(average(EBITDA_MARGIN!AA102:AA105),""),"")</f>
        <v>0.02963190468</v>
      </c>
      <c r="AB219" s="14">
        <f>if(EBITDA_MARGIN!AB105&lt;&gt;"",iferror(average(EBITDA_MARGIN!AB102:AB105),""),"")</f>
        <v>-5.601486035</v>
      </c>
      <c r="AC219" s="14">
        <f>if(EBITDA_MARGIN!AC105&lt;&gt;"",iferror(average(EBITDA_MARGIN!AC102:AC105),""),"")</f>
        <v>-0.5947891208</v>
      </c>
      <c r="AD219" s="12"/>
    </row>
    <row r="220">
      <c r="A220" s="15" t="s">
        <v>133</v>
      </c>
      <c r="B220" s="14">
        <f>if(EBITDA_MARGIN!B106&lt;&gt;"",iferror(average(EBITDA_MARGIN!B103:B106),""),"")</f>
        <v>0.1994610571</v>
      </c>
      <c r="C220" s="14">
        <f>if(EBITDA_MARGIN!C106&lt;&gt;"",iferror(average(EBITDA_MARGIN!C103:C106),""),"")</f>
        <v>0.1673870135</v>
      </c>
      <c r="D220" s="14">
        <f>if(EBITDA_MARGIN!D106&lt;&gt;"",iferror(average(EBITDA_MARGIN!D103:D106),""),"")</f>
        <v>0.1778449573</v>
      </c>
      <c r="E220" s="14">
        <f>if(EBITDA_MARGIN!E106&lt;&gt;"",iferror(average(EBITDA_MARGIN!E103:E106),""),"")</f>
        <v>0.1228274579</v>
      </c>
      <c r="F220" s="14">
        <f>if(EBITDA_MARGIN!F106&lt;&gt;"",iferror(average(EBITDA_MARGIN!F103:F106),""),"")</f>
        <v>0.02275565887</v>
      </c>
      <c r="G220" s="14">
        <f>if(EBITDA_MARGIN!G106&lt;&gt;"",iferror(average(EBITDA_MARGIN!G103:G106),""),"")</f>
        <v>-0.1732636753</v>
      </c>
      <c r="H220" s="14">
        <f>if(EBITDA_MARGIN!H106&lt;&gt;"",iferror(average(EBITDA_MARGIN!H103:H106),""),"")</f>
        <v>0.0136192221</v>
      </c>
      <c r="I220" s="14">
        <f>if(EBITDA_MARGIN!I106&lt;&gt;"",iferror(average(EBITDA_MARGIN!I103:I106),""),"")</f>
        <v>-0.08877851006</v>
      </c>
      <c r="J220" s="14">
        <f>if(EBITDA_MARGIN!J106&lt;&gt;"",iferror(average(EBITDA_MARGIN!J103:J106),""),"")</f>
        <v>-0.04156815314</v>
      </c>
      <c r="K220" s="14">
        <f>if(EBITDA_MARGIN!K106&lt;&gt;"",iferror(average(EBITDA_MARGIN!K103:K106),""),"")</f>
        <v>0.05133784609</v>
      </c>
      <c r="L220" s="14">
        <f>if(EBITDA_MARGIN!L106&lt;&gt;"",iferror(average(EBITDA_MARGIN!L103:L106),""),"")</f>
        <v>-0.09468162767</v>
      </c>
      <c r="M220" s="14">
        <f>if(EBITDA_MARGIN!M106&lt;&gt;"",iferror(average(EBITDA_MARGIN!M103:M106),""),"")</f>
        <v>-0.1938419109</v>
      </c>
      <c r="N220" s="14">
        <f>if(EBITDA_MARGIN!N106&lt;&gt;"",iferror(average(EBITDA_MARGIN!N103:N106),""),"")</f>
        <v>0.199240582</v>
      </c>
      <c r="O220" s="14">
        <f>if(EBITDA_MARGIN!O106&lt;&gt;"",iferror(average(EBITDA_MARGIN!O103:O106),""),"")</f>
        <v>-0.06388220209</v>
      </c>
      <c r="P220" s="14">
        <f>if(EBITDA_MARGIN!P106&lt;&gt;"",iferror(average(EBITDA_MARGIN!P103:P106),""),"")</f>
        <v>0.401636631</v>
      </c>
      <c r="Q220" s="14" t="str">
        <f>if(EBITDA_MARGIN!Q106&lt;&gt;"",iferror(average(EBITDA_MARGIN!Q103:Q106),""),"")</f>
        <v/>
      </c>
      <c r="R220" s="14"/>
      <c r="S220" s="14">
        <f>if(EBITDA_MARGIN!S106&lt;&gt;"",iferror(average(EBITDA_MARGIN!S103:S106),""),"")</f>
        <v>-0.04630072108</v>
      </c>
      <c r="T220" s="14">
        <f>if(EBITDA_MARGIN!T106&lt;&gt;"",iferror(average(EBITDA_MARGIN!T103:T106),""),"")</f>
        <v>0.4801926277</v>
      </c>
      <c r="U220" s="14">
        <f>if(EBITDA_MARGIN!U106&lt;&gt;"",iferror(average(EBITDA_MARGIN!U103:U106),""),"")</f>
        <v>-0.120990078</v>
      </c>
      <c r="V220" s="14" t="str">
        <f>if(EBITDA_MARGIN!V106&lt;&gt;"",iferror(average(EBITDA_MARGIN!V103:V106),""),"")</f>
        <v/>
      </c>
      <c r="W220" s="14" t="str">
        <f>if(EBITDA_MARGIN!W106&lt;&gt;"",iferror(average(EBITDA_MARGIN!W103:W106),""),"")</f>
        <v/>
      </c>
      <c r="X220" s="14">
        <f>if(EBITDA_MARGIN!X106&lt;&gt;"",iferror(average(EBITDA_MARGIN!X103:X106),""),"")</f>
        <v>-0.2734285188</v>
      </c>
      <c r="Y220" s="14">
        <f>if(EBITDA_MARGIN!Y106&lt;&gt;"",iferror(average(EBITDA_MARGIN!Y103:Y106),""),"")</f>
        <v>0.1112030856</v>
      </c>
      <c r="Z220" s="14">
        <f>if(EBITDA_MARGIN!Z106&lt;&gt;"",iferror(average(EBITDA_MARGIN!Z103:Z106),""),"")</f>
        <v>0.3504906852</v>
      </c>
      <c r="AA220" s="14">
        <f>if(EBITDA_MARGIN!AA106&lt;&gt;"",iferror(average(EBITDA_MARGIN!AA103:AA106),""),"")</f>
        <v>0.04077536816</v>
      </c>
      <c r="AB220" s="14">
        <f>if(EBITDA_MARGIN!AB106&lt;&gt;"",iferror(average(EBITDA_MARGIN!AB103:AB106),""),"")</f>
        <v>-6.641838488</v>
      </c>
      <c r="AC220" s="14">
        <f>if(EBITDA_MARGIN!AC106&lt;&gt;"",iferror(average(EBITDA_MARGIN!AC103:AC106),""),"")</f>
        <v>-0.4243011482</v>
      </c>
      <c r="AD220" s="12"/>
    </row>
    <row r="221">
      <c r="A221" s="15" t="s">
        <v>134</v>
      </c>
      <c r="B221" s="14">
        <f>if(EBITDA_MARGIN!B107&lt;&gt;"",iferror(average(EBITDA_MARGIN!B104:B107),""),"")</f>
        <v>0.2186775296</v>
      </c>
      <c r="C221" s="14">
        <f>if(EBITDA_MARGIN!C107&lt;&gt;"",iferror(average(EBITDA_MARGIN!C104:C107),""),"")</f>
        <v>0.266194262</v>
      </c>
      <c r="D221" s="14">
        <f>if(EBITDA_MARGIN!D107&lt;&gt;"",iferror(average(EBITDA_MARGIN!D104:D107),""),"")</f>
        <v>0.1877534261</v>
      </c>
      <c r="E221" s="14">
        <f>if(EBITDA_MARGIN!E107&lt;&gt;"",iferror(average(EBITDA_MARGIN!E104:E107),""),"")</f>
        <v>0.2765337852</v>
      </c>
      <c r="F221" s="14">
        <f>if(EBITDA_MARGIN!F107&lt;&gt;"",iferror(average(EBITDA_MARGIN!F104:F107),""),"")</f>
        <v>0.04413639178</v>
      </c>
      <c r="G221" s="14">
        <f>if(EBITDA_MARGIN!G107&lt;&gt;"",iferror(average(EBITDA_MARGIN!G104:G107),""),"")</f>
        <v>-0.1268513743</v>
      </c>
      <c r="H221" s="14">
        <f>if(EBITDA_MARGIN!H107&lt;&gt;"",iferror(average(EBITDA_MARGIN!H104:H107),""),"")</f>
        <v>0.04202108931</v>
      </c>
      <c r="I221" s="14">
        <f>if(EBITDA_MARGIN!I107&lt;&gt;"",iferror(average(EBITDA_MARGIN!I104:I107),""),"")</f>
        <v>-0.0708876306</v>
      </c>
      <c r="J221" s="14">
        <f>if(EBITDA_MARGIN!J107&lt;&gt;"",iferror(average(EBITDA_MARGIN!J104:J107),""),"")</f>
        <v>-0.02267541869</v>
      </c>
      <c r="K221" s="14">
        <f>if(EBITDA_MARGIN!K107&lt;&gt;"",iferror(average(EBITDA_MARGIN!K104:K107),""),"")</f>
        <v>0.07972266862</v>
      </c>
      <c r="L221" s="14">
        <f>if(EBITDA_MARGIN!L107&lt;&gt;"",iferror(average(EBITDA_MARGIN!L104:L107),""),"")</f>
        <v>0.0467733909</v>
      </c>
      <c r="M221" s="14">
        <f>if(EBITDA_MARGIN!M107&lt;&gt;"",iferror(average(EBITDA_MARGIN!M104:M107),""),"")</f>
        <v>-0.1332264328</v>
      </c>
      <c r="N221" s="14">
        <f>if(EBITDA_MARGIN!N107&lt;&gt;"",iferror(average(EBITDA_MARGIN!N104:N107),""),"")</f>
        <v>0.1943752839</v>
      </c>
      <c r="O221" s="14">
        <f>if(EBITDA_MARGIN!O107&lt;&gt;"",iferror(average(EBITDA_MARGIN!O104:O107),""),"")</f>
        <v>0.05065164912</v>
      </c>
      <c r="P221" s="14">
        <f>if(EBITDA_MARGIN!P107&lt;&gt;"",iferror(average(EBITDA_MARGIN!P104:P107),""),"")</f>
        <v>0.402992278</v>
      </c>
      <c r="Q221" s="14" t="str">
        <f>if(EBITDA_MARGIN!Q107&lt;&gt;"",iferror(average(EBITDA_MARGIN!Q104:Q107),""),"")</f>
        <v/>
      </c>
      <c r="R221" s="14"/>
      <c r="S221" s="14">
        <f>if(EBITDA_MARGIN!S107&lt;&gt;"",iferror(average(EBITDA_MARGIN!S104:S107),""),"")</f>
        <v>-0.008631264717</v>
      </c>
      <c r="T221" s="14">
        <f>if(EBITDA_MARGIN!T107&lt;&gt;"",iferror(average(EBITDA_MARGIN!T104:T107),""),"")</f>
        <v>0.4454835756</v>
      </c>
      <c r="U221" s="14">
        <f>if(EBITDA_MARGIN!U107&lt;&gt;"",iferror(average(EBITDA_MARGIN!U104:U107),""),"")</f>
        <v>-0.06994819671</v>
      </c>
      <c r="V221" s="14" t="str">
        <f>if(EBITDA_MARGIN!V107&lt;&gt;"",iferror(average(EBITDA_MARGIN!V104:V107),""),"")</f>
        <v/>
      </c>
      <c r="W221" s="14" t="str">
        <f>if(EBITDA_MARGIN!W107&lt;&gt;"",iferror(average(EBITDA_MARGIN!W104:W107),""),"")</f>
        <v/>
      </c>
      <c r="X221" s="14">
        <f>if(EBITDA_MARGIN!X107&lt;&gt;"",iferror(average(EBITDA_MARGIN!X104:X107),""),"")</f>
        <v>-0.1870720622</v>
      </c>
      <c r="Y221" s="14">
        <f>if(EBITDA_MARGIN!Y107&lt;&gt;"",iferror(average(EBITDA_MARGIN!Y104:Y107),""),"")</f>
        <v>0.1515471893</v>
      </c>
      <c r="Z221" s="14">
        <f>if(EBITDA_MARGIN!Z107&lt;&gt;"",iferror(average(EBITDA_MARGIN!Z104:Z107),""),"")</f>
        <v>0.3525132056</v>
      </c>
      <c r="AA221" s="14">
        <f>if(EBITDA_MARGIN!AA107&lt;&gt;"",iferror(average(EBITDA_MARGIN!AA104:AA107),""),"")</f>
        <v>0.05504936398</v>
      </c>
      <c r="AB221" s="14" t="str">
        <f>if(EBITDA_MARGIN!AB107&lt;&gt;"",iferror(average(EBITDA_MARGIN!AB104:AB107),""),"")</f>
        <v/>
      </c>
      <c r="AC221" s="14">
        <f>if(EBITDA_MARGIN!AC107&lt;&gt;"",iferror(average(EBITDA_MARGIN!AC104:AC107),""),"")</f>
        <v>-0.308278847</v>
      </c>
      <c r="AD221" s="12"/>
    </row>
    <row r="222">
      <c r="A222" s="15" t="s">
        <v>135</v>
      </c>
      <c r="B222" s="14">
        <f>if(EBITDA_MARGIN!B108&lt;&gt;"",iferror(average(EBITDA_MARGIN!B105:B108),""),"")</f>
        <v>0.241193527</v>
      </c>
      <c r="C222" s="14">
        <f>if(EBITDA_MARGIN!C108&lt;&gt;"",iferror(average(EBITDA_MARGIN!C105:C108),""),"")</f>
        <v>0.2736468194</v>
      </c>
      <c r="D222" s="14">
        <f>if(EBITDA_MARGIN!D108&lt;&gt;"",iferror(average(EBITDA_MARGIN!D105:D108),""),"")</f>
        <v>0.2033713258</v>
      </c>
      <c r="E222" s="14">
        <f>if(EBITDA_MARGIN!E108&lt;&gt;"",iferror(average(EBITDA_MARGIN!E105:E108),""),"")</f>
        <v>0.2673671239</v>
      </c>
      <c r="F222" s="14">
        <f>if(EBITDA_MARGIN!F108&lt;&gt;"",iferror(average(EBITDA_MARGIN!F105:F108),""),"")</f>
        <v>0.03462901792</v>
      </c>
      <c r="G222" s="14">
        <f>if(EBITDA_MARGIN!G108&lt;&gt;"",iferror(average(EBITDA_MARGIN!G105:G108),""),"")</f>
        <v>-0.004267220091</v>
      </c>
      <c r="H222" s="14">
        <f>if(EBITDA_MARGIN!H108&lt;&gt;"",iferror(average(EBITDA_MARGIN!H105:H108),""),"")</f>
        <v>0.08479216709</v>
      </c>
      <c r="I222" s="14">
        <f>if(EBITDA_MARGIN!I108&lt;&gt;"",iferror(average(EBITDA_MARGIN!I105:I108),""),"")</f>
        <v>-0.02647677501</v>
      </c>
      <c r="J222" s="14">
        <f>if(EBITDA_MARGIN!J108&lt;&gt;"",iferror(average(EBITDA_MARGIN!J105:J108),""),"")</f>
        <v>0.01867505514</v>
      </c>
      <c r="K222" s="14">
        <f>if(EBITDA_MARGIN!K108&lt;&gt;"",iferror(average(EBITDA_MARGIN!K105:K108),""),"")</f>
        <v>0.07569036932</v>
      </c>
      <c r="L222" s="14">
        <f>if(EBITDA_MARGIN!L108&lt;&gt;"",iferror(average(EBITDA_MARGIN!L105:L108),""),"")</f>
        <v>0.17122296</v>
      </c>
      <c r="M222" s="14">
        <f>if(EBITDA_MARGIN!M108&lt;&gt;"",iferror(average(EBITDA_MARGIN!M105:M108),""),"")</f>
        <v>0.0025867392</v>
      </c>
      <c r="N222" s="14">
        <f>if(EBITDA_MARGIN!N108&lt;&gt;"",iferror(average(EBITDA_MARGIN!N105:N108),""),"")</f>
        <v>0.1427411754</v>
      </c>
      <c r="O222" s="14">
        <f>if(EBITDA_MARGIN!O108&lt;&gt;"",iferror(average(EBITDA_MARGIN!O105:O108),""),"")</f>
        <v>0.09938242936</v>
      </c>
      <c r="P222" s="14">
        <f>if(EBITDA_MARGIN!P108&lt;&gt;"",iferror(average(EBITDA_MARGIN!P105:P108),""),"")</f>
        <v>0.3912404794</v>
      </c>
      <c r="Q222" s="14" t="str">
        <f>if(EBITDA_MARGIN!Q108&lt;&gt;"",iferror(average(EBITDA_MARGIN!Q105:Q108),""),"")</f>
        <v/>
      </c>
      <c r="R222" s="14"/>
      <c r="S222" s="14">
        <f>if(EBITDA_MARGIN!S108&lt;&gt;"",iferror(average(EBITDA_MARGIN!S105:S108),""),"")</f>
        <v>0.04584820598</v>
      </c>
      <c r="T222" s="14">
        <f>if(EBITDA_MARGIN!T108&lt;&gt;"",iferror(average(EBITDA_MARGIN!T105:T108),""),"")</f>
        <v>0.4008062224</v>
      </c>
      <c r="U222" s="14">
        <f>if(EBITDA_MARGIN!U108&lt;&gt;"",iferror(average(EBITDA_MARGIN!U105:U108),""),"")</f>
        <v>-0.07275056557</v>
      </c>
      <c r="V222" s="14" t="str">
        <f>if(EBITDA_MARGIN!V108&lt;&gt;"",iferror(average(EBITDA_MARGIN!V105:V108),""),"")</f>
        <v/>
      </c>
      <c r="W222" s="14" t="str">
        <f>if(EBITDA_MARGIN!W108&lt;&gt;"",iferror(average(EBITDA_MARGIN!W105:W108),""),"")</f>
        <v/>
      </c>
      <c r="X222" s="14">
        <f>if(EBITDA_MARGIN!X108&lt;&gt;"",iferror(average(EBITDA_MARGIN!X105:X108),""),"")</f>
        <v>-0.1007156055</v>
      </c>
      <c r="Y222" s="14">
        <f>if(EBITDA_MARGIN!Y108&lt;&gt;"",iferror(average(EBITDA_MARGIN!Y105:Y108),""),"")</f>
        <v>0.191891293</v>
      </c>
      <c r="Z222" s="14">
        <f>if(EBITDA_MARGIN!Z108&lt;&gt;"",iferror(average(EBITDA_MARGIN!Z105:Z108),""),"")</f>
        <v>0.3545357259</v>
      </c>
      <c r="AA222" s="14">
        <f>if(EBITDA_MARGIN!AA108&lt;&gt;"",iferror(average(EBITDA_MARGIN!AA105:AA108),""),"")</f>
        <v>0.0693233598</v>
      </c>
      <c r="AB222" s="14" t="str">
        <f>if(EBITDA_MARGIN!AB108&lt;&gt;"",iferror(average(EBITDA_MARGIN!AB105:AB108),""),"")</f>
        <v/>
      </c>
      <c r="AC222" s="14">
        <f>if(EBITDA_MARGIN!AC108&lt;&gt;"",iferror(average(EBITDA_MARGIN!AC105:AC108),""),"")</f>
        <v>-0.1922565458</v>
      </c>
      <c r="AD222" s="12"/>
    </row>
    <row r="223">
      <c r="A223" s="15" t="s">
        <v>136</v>
      </c>
      <c r="B223" s="14">
        <f>if(EBITDA_MARGIN!B109&lt;&gt;"",iferror(average(EBITDA_MARGIN!B106:B109),""),"")</f>
        <v>0.2546926872</v>
      </c>
      <c r="C223" s="14">
        <f>if(EBITDA_MARGIN!C109&lt;&gt;"",iferror(average(EBITDA_MARGIN!C106:C109),""),"")</f>
        <v>0.290999337</v>
      </c>
      <c r="D223" s="14">
        <f>if(EBITDA_MARGIN!D109&lt;&gt;"",iferror(average(EBITDA_MARGIN!D106:D109),""),"")</f>
        <v>0.2085562534</v>
      </c>
      <c r="E223" s="14">
        <f>if(EBITDA_MARGIN!E109&lt;&gt;"",iferror(average(EBITDA_MARGIN!E106:E109),""),"")</f>
        <v>0.3334449804</v>
      </c>
      <c r="F223" s="14">
        <f>if(EBITDA_MARGIN!F109&lt;&gt;"",iferror(average(EBITDA_MARGIN!F106:F109),""),"")</f>
        <v>0.03087871646</v>
      </c>
      <c r="G223" s="14">
        <f>if(EBITDA_MARGIN!G109&lt;&gt;"",iferror(average(EBITDA_MARGIN!G106:G109),""),"")</f>
        <v>-0.194119253</v>
      </c>
      <c r="H223" s="14">
        <f>if(EBITDA_MARGIN!H109&lt;&gt;"",iferror(average(EBITDA_MARGIN!H106:H109),""),"")</f>
        <v>0.09728447339</v>
      </c>
      <c r="I223" s="14">
        <f>if(EBITDA_MARGIN!I109&lt;&gt;"",iferror(average(EBITDA_MARGIN!I106:I109),""),"")</f>
        <v>0.01455007208</v>
      </c>
      <c r="J223" s="14">
        <f>if(EBITDA_MARGIN!J109&lt;&gt;"",iferror(average(EBITDA_MARGIN!J106:J109),""),"")</f>
        <v>0.03556848818</v>
      </c>
      <c r="K223" s="14">
        <f>if(EBITDA_MARGIN!K109&lt;&gt;"",iferror(average(EBITDA_MARGIN!K106:K109),""),"")</f>
        <v>0.05211163035</v>
      </c>
      <c r="L223" s="14">
        <f>if(EBITDA_MARGIN!L109&lt;&gt;"",iferror(average(EBITDA_MARGIN!L106:L109),""),"")</f>
        <v>0.1307556939</v>
      </c>
      <c r="M223" s="14">
        <f>if(EBITDA_MARGIN!M109&lt;&gt;"",iferror(average(EBITDA_MARGIN!M106:M109),""),"")</f>
        <v>0.05613538354</v>
      </c>
      <c r="N223" s="14">
        <f>if(EBITDA_MARGIN!N109&lt;&gt;"",iferror(average(EBITDA_MARGIN!N106:N109),""),"")</f>
        <v>0.1001825942</v>
      </c>
      <c r="O223" s="14">
        <f>if(EBITDA_MARGIN!O109&lt;&gt;"",iferror(average(EBITDA_MARGIN!O106:O109),""),"")</f>
        <v>0.1481132096</v>
      </c>
      <c r="P223" s="14">
        <f>if(EBITDA_MARGIN!P109&lt;&gt;"",iferror(average(EBITDA_MARGIN!P106:P109),""),"")</f>
        <v>0.3794886807</v>
      </c>
      <c r="Q223" s="14" t="str">
        <f>if(EBITDA_MARGIN!Q109&lt;&gt;"",iferror(average(EBITDA_MARGIN!Q106:Q109),""),"")</f>
        <v/>
      </c>
      <c r="R223" s="14"/>
      <c r="S223" s="14">
        <f>if(EBITDA_MARGIN!S109&lt;&gt;"",iferror(average(EBITDA_MARGIN!S106:S109),""),"")</f>
        <v>0.09576694454</v>
      </c>
      <c r="T223" s="14">
        <f>if(EBITDA_MARGIN!T109&lt;&gt;"",iferror(average(EBITDA_MARGIN!T106:T109),""),"")</f>
        <v>0.4455104014</v>
      </c>
      <c r="U223" s="14">
        <f>if(EBITDA_MARGIN!U109&lt;&gt;"",iferror(average(EBITDA_MARGIN!U106:U109),""),"")</f>
        <v>-0.1234673438</v>
      </c>
      <c r="V223" s="14" t="str">
        <f>if(EBITDA_MARGIN!V109&lt;&gt;"",iferror(average(EBITDA_MARGIN!V106:V109),""),"")</f>
        <v/>
      </c>
      <c r="W223" s="14" t="str">
        <f>if(EBITDA_MARGIN!W109&lt;&gt;"",iferror(average(EBITDA_MARGIN!W106:W109),""),"")</f>
        <v/>
      </c>
      <c r="X223" s="14">
        <f>if(EBITDA_MARGIN!X109&lt;&gt;"",iferror(average(EBITDA_MARGIN!X106:X109),""),"")</f>
        <v>-0.05129556673</v>
      </c>
      <c r="Y223" s="14">
        <f>if(EBITDA_MARGIN!Y109&lt;&gt;"",iferror(average(EBITDA_MARGIN!Y106:Y109),""),"")</f>
        <v>0.2322353967</v>
      </c>
      <c r="Z223" s="14">
        <f>if(EBITDA_MARGIN!Z109&lt;&gt;"",iferror(average(EBITDA_MARGIN!Z106:Z109),""),"")</f>
        <v>0.3565582462</v>
      </c>
      <c r="AA223" s="14">
        <f>if(EBITDA_MARGIN!AA109&lt;&gt;"",iferror(average(EBITDA_MARGIN!AA106:AA109),""),"")</f>
        <v>0.08359735562</v>
      </c>
      <c r="AB223" s="14" t="str">
        <f>if(EBITDA_MARGIN!AB109&lt;&gt;"",iferror(average(EBITDA_MARGIN!AB106:AB109),""),"")</f>
        <v/>
      </c>
      <c r="AC223" s="14">
        <f>if(EBITDA_MARGIN!AC109&lt;&gt;"",iferror(average(EBITDA_MARGIN!AC106:AC109),""),"")</f>
        <v>-0.07623424465</v>
      </c>
      <c r="AD223" s="12"/>
    </row>
    <row r="224">
      <c r="A224" s="15" t="s">
        <v>137</v>
      </c>
      <c r="B224" s="14">
        <f>if(EBITDA_MARGIN!B110&lt;&gt;"",iferror(average(EBITDA_MARGIN!B107:B110),""),"")</f>
        <v>0.1663076025</v>
      </c>
      <c r="C224" s="14">
        <f>if(EBITDA_MARGIN!C110&lt;&gt;"",iferror(average(EBITDA_MARGIN!C107:C110),""),"")</f>
        <v>0.2228254139</v>
      </c>
      <c r="D224" s="14">
        <f>if(EBITDA_MARGIN!D110&lt;&gt;"",iferror(average(EBITDA_MARGIN!D107:D110),""),"")</f>
        <v>0.2137539429</v>
      </c>
      <c r="E224" s="14">
        <f>if(EBITDA_MARGIN!E110&lt;&gt;"",iferror(average(EBITDA_MARGIN!E107:E110),""),"")</f>
        <v>0.2410714293</v>
      </c>
      <c r="F224" s="14">
        <f>if(EBITDA_MARGIN!F110&lt;&gt;"",iferror(average(EBITDA_MARGIN!F107:F110),""),"")</f>
        <v>0.06269097201</v>
      </c>
      <c r="G224" s="14">
        <f>if(EBITDA_MARGIN!G110&lt;&gt;"",iferror(average(EBITDA_MARGIN!G107:G110),""),"")</f>
        <v>-0.2196775297</v>
      </c>
      <c r="H224" s="14">
        <f>if(EBITDA_MARGIN!H110&lt;&gt;"",iferror(average(EBITDA_MARGIN!H107:H110),""),"")</f>
        <v>0.1110307253</v>
      </c>
      <c r="I224" s="14">
        <f>if(EBITDA_MARGIN!I110&lt;&gt;"",iferror(average(EBITDA_MARGIN!I107:I110),""),"")</f>
        <v>0.04390462179</v>
      </c>
      <c r="J224" s="14">
        <f>if(EBITDA_MARGIN!J110&lt;&gt;"",iferror(average(EBITDA_MARGIN!J107:J110),""),"")</f>
        <v>0.06407830409</v>
      </c>
      <c r="K224" s="14">
        <f>if(EBITDA_MARGIN!K110&lt;&gt;"",iferror(average(EBITDA_MARGIN!K107:K110),""),"")</f>
        <v>0.05575387189</v>
      </c>
      <c r="L224" s="14">
        <f>if(EBITDA_MARGIN!L110&lt;&gt;"",iferror(average(EBITDA_MARGIN!L107:L110),""),"")</f>
        <v>0.2041389695</v>
      </c>
      <c r="M224" s="14">
        <f>if(EBITDA_MARGIN!M110&lt;&gt;"",iferror(average(EBITDA_MARGIN!M107:M110),""),"")</f>
        <v>0.06408896125</v>
      </c>
      <c r="N224" s="14">
        <f>if(EBITDA_MARGIN!N110&lt;&gt;"",iferror(average(EBITDA_MARGIN!N107:N110),""),"")</f>
        <v>0.1222865552</v>
      </c>
      <c r="O224" s="14">
        <f>if(EBITDA_MARGIN!O110&lt;&gt;"",iferror(average(EBITDA_MARGIN!O107:O110),""),"")</f>
        <v>0.1895530328</v>
      </c>
      <c r="P224" s="14">
        <f>if(EBITDA_MARGIN!P110&lt;&gt;"",iferror(average(EBITDA_MARGIN!P107:P110),""),"")</f>
        <v>0.4233577283</v>
      </c>
      <c r="Q224" s="14" t="str">
        <f>if(EBITDA_MARGIN!Q110&lt;&gt;"",iferror(average(EBITDA_MARGIN!Q107:Q110),""),"")</f>
        <v/>
      </c>
      <c r="R224" s="14"/>
      <c r="S224" s="14">
        <f>if(EBITDA_MARGIN!S110&lt;&gt;"",iferror(average(EBITDA_MARGIN!S107:S110),""),"")</f>
        <v>0.1169575094</v>
      </c>
      <c r="T224" s="14">
        <f>if(EBITDA_MARGIN!T110&lt;&gt;"",iferror(average(EBITDA_MARGIN!T107:T110),""),"")</f>
        <v>0.4609437257</v>
      </c>
      <c r="U224" s="14">
        <f>if(EBITDA_MARGIN!U110&lt;&gt;"",iferror(average(EBITDA_MARGIN!U107:U110),""),"")</f>
        <v>-0.07309457193</v>
      </c>
      <c r="V224" s="14" t="str">
        <f>if(EBITDA_MARGIN!V110&lt;&gt;"",iferror(average(EBITDA_MARGIN!V107:V110),""),"")</f>
        <v/>
      </c>
      <c r="W224" s="14" t="str">
        <f>if(EBITDA_MARGIN!W110&lt;&gt;"",iferror(average(EBITDA_MARGIN!W107:W110),""),"")</f>
        <v/>
      </c>
      <c r="X224" s="14">
        <f>if(EBITDA_MARGIN!X110&lt;&gt;"",iferror(average(EBITDA_MARGIN!X107:X110),""),"")</f>
        <v>-0.001875527972</v>
      </c>
      <c r="Y224" s="14">
        <f>if(EBITDA_MARGIN!Y110&lt;&gt;"",iferror(average(EBITDA_MARGIN!Y107:Y110),""),"")</f>
        <v>0.2725795004</v>
      </c>
      <c r="Z224" s="14">
        <f>if(EBITDA_MARGIN!Z110&lt;&gt;"",iferror(average(EBITDA_MARGIN!Z107:Z110),""),"")</f>
        <v>0.3585807665</v>
      </c>
      <c r="AA224" s="14">
        <f>if(EBITDA_MARGIN!AA110&lt;&gt;"",iferror(average(EBITDA_MARGIN!AA107:AA110),""),"")</f>
        <v>0.09787135143</v>
      </c>
      <c r="AB224" s="14" t="str">
        <f>if(EBITDA_MARGIN!AB110&lt;&gt;"",iferror(average(EBITDA_MARGIN!AB107:AB110),""),"")</f>
        <v/>
      </c>
      <c r="AC224" s="14">
        <f>if(EBITDA_MARGIN!AC110&lt;&gt;"",iferror(average(EBITDA_MARGIN!AC107:AC110),""),"")</f>
        <v>0.03978805654</v>
      </c>
      <c r="AD224" s="12"/>
    </row>
    <row r="225">
      <c r="A225" s="15" t="s">
        <v>138</v>
      </c>
      <c r="B225" s="14">
        <f>if(EBITDA_MARGIN!B111&lt;&gt;"",iferror(average(EBITDA_MARGIN!B108:B111),""),"")</f>
        <v>0.182627827</v>
      </c>
      <c r="C225" s="14">
        <f>if(EBITDA_MARGIN!C111&lt;&gt;"",iferror(average(EBITDA_MARGIN!C108:C111),""),"")</f>
        <v>0.2558328804</v>
      </c>
      <c r="D225" s="14">
        <f>if(EBITDA_MARGIN!D111&lt;&gt;"",iferror(average(EBITDA_MARGIN!D108:D111),""),"")</f>
        <v>0.2094601767</v>
      </c>
      <c r="E225" s="14">
        <f>if(EBITDA_MARGIN!E111&lt;&gt;"",iferror(average(EBITDA_MARGIN!E108:E111),""),"")</f>
        <v>0.2240430177</v>
      </c>
      <c r="F225" s="14">
        <f>if(EBITDA_MARGIN!F111&lt;&gt;"",iferror(average(EBITDA_MARGIN!F108:F111),""),"")</f>
        <v>0.06267220644</v>
      </c>
      <c r="G225" s="14">
        <f>if(EBITDA_MARGIN!G111&lt;&gt;"",iferror(average(EBITDA_MARGIN!G108:G111),""),"")</f>
        <v>-0.281128446</v>
      </c>
      <c r="H225" s="14">
        <f>if(EBITDA_MARGIN!H111&lt;&gt;"",iferror(average(EBITDA_MARGIN!H108:H111),""),"")</f>
        <v>0.1228356028</v>
      </c>
      <c r="I225" s="14">
        <f>if(EBITDA_MARGIN!I111&lt;&gt;"",iferror(average(EBITDA_MARGIN!I108:I111),""),"")</f>
        <v>0.08120770858</v>
      </c>
      <c r="J225" s="14">
        <f>if(EBITDA_MARGIN!J111&lt;&gt;"",iferror(average(EBITDA_MARGIN!J108:J111),""),"")</f>
        <v>0.1142066252</v>
      </c>
      <c r="K225" s="14">
        <f>if(EBITDA_MARGIN!K111&lt;&gt;"",iferror(average(EBITDA_MARGIN!K108:K111),""),"")</f>
        <v>0.05786707964</v>
      </c>
      <c r="L225" s="14">
        <f>if(EBITDA_MARGIN!L111&lt;&gt;"",iferror(average(EBITDA_MARGIN!L108:L111),""),"")</f>
        <v>0.1908556925</v>
      </c>
      <c r="M225" s="14">
        <f>if(EBITDA_MARGIN!M111&lt;&gt;"",iferror(average(EBITDA_MARGIN!M108:M111),""),"")</f>
        <v>0.06970003172</v>
      </c>
      <c r="N225" s="14">
        <f>if(EBITDA_MARGIN!N111&lt;&gt;"",iferror(average(EBITDA_MARGIN!N108:N111),""),"")</f>
        <v>0.1054802397</v>
      </c>
      <c r="O225" s="14">
        <f>if(EBITDA_MARGIN!O111&lt;&gt;"",iferror(average(EBITDA_MARGIN!O108:O111),""),"")</f>
        <v>0.230992856</v>
      </c>
      <c r="P225" s="14">
        <f>if(EBITDA_MARGIN!P111&lt;&gt;"",iferror(average(EBITDA_MARGIN!P108:P111),""),"")</f>
        <v>0.467226776</v>
      </c>
      <c r="Q225" s="14" t="str">
        <f>if(EBITDA_MARGIN!Q111&lt;&gt;"",iferror(average(EBITDA_MARGIN!Q108:Q111),""),"")</f>
        <v/>
      </c>
      <c r="R225" s="14"/>
      <c r="S225" s="14">
        <f>if(EBITDA_MARGIN!S111&lt;&gt;"",iferror(average(EBITDA_MARGIN!S108:S111),""),"")</f>
        <v>0.1205188456</v>
      </c>
      <c r="T225" s="14">
        <f>if(EBITDA_MARGIN!T111&lt;&gt;"",iferror(average(EBITDA_MARGIN!T108:T111),""),"")</f>
        <v>0.4607890255</v>
      </c>
      <c r="U225" s="14">
        <f>if(EBITDA_MARGIN!U111&lt;&gt;"",iferror(average(EBITDA_MARGIN!U108:U111),""),"")</f>
        <v>-0.07611616538</v>
      </c>
      <c r="V225" s="14" t="str">
        <f>if(EBITDA_MARGIN!V111&lt;&gt;"",iferror(average(EBITDA_MARGIN!V108:V111),""),"")</f>
        <v/>
      </c>
      <c r="W225" s="14" t="str">
        <f>if(EBITDA_MARGIN!W111&lt;&gt;"",iferror(average(EBITDA_MARGIN!W108:W111),""),"")</f>
        <v/>
      </c>
      <c r="X225" s="14">
        <f>if(EBITDA_MARGIN!X111&lt;&gt;"",iferror(average(EBITDA_MARGIN!X108:X111),""),"")</f>
        <v>0.04754451079</v>
      </c>
      <c r="Y225" s="14" t="str">
        <f>if(EBITDA_MARGIN!Y111&lt;&gt;"",iferror(average(EBITDA_MARGIN!Y108:Y111),""),"")</f>
        <v/>
      </c>
      <c r="Z225" s="14" t="str">
        <f>if(EBITDA_MARGIN!Z111&lt;&gt;"",iferror(average(EBITDA_MARGIN!Z108:Z111),""),"")</f>
        <v/>
      </c>
      <c r="AA225" s="14" t="str">
        <f>if(EBITDA_MARGIN!AA111&lt;&gt;"",iferror(average(EBITDA_MARGIN!AA108:AA111),""),"")</f>
        <v/>
      </c>
      <c r="AB225" s="14" t="str">
        <f>if(EBITDA_MARGIN!AB111&lt;&gt;"",iferror(average(EBITDA_MARGIN!AB108:AB111),""),"")</f>
        <v/>
      </c>
      <c r="AC225" s="14" t="str">
        <f>if(EBITDA_MARGIN!AC111&lt;&gt;"",iferror(average(EBITDA_MARGIN!AC108:AC111),""),"")</f>
        <v/>
      </c>
      <c r="AD225" s="12"/>
    </row>
    <row r="226">
      <c r="A226" s="15" t="s">
        <v>139</v>
      </c>
      <c r="B226" s="14">
        <f>if(EBITDA_MARGIN!B112&lt;&gt;"",iferror(average(EBITDA_MARGIN!B109:B112),""),"")</f>
        <v>0.1765465487</v>
      </c>
      <c r="C226" s="14">
        <f>if(EBITDA_MARGIN!C112&lt;&gt;"",iferror(average(EBITDA_MARGIN!C109:C112),""),"")</f>
        <v>0.2637863405</v>
      </c>
      <c r="D226" s="14">
        <f>if(EBITDA_MARGIN!D112&lt;&gt;"",iferror(average(EBITDA_MARGIN!D109:D112),""),"")</f>
        <v>0.2007360757</v>
      </c>
      <c r="E226" s="14">
        <f>if(EBITDA_MARGIN!E112&lt;&gt;"",iferror(average(EBITDA_MARGIN!E109:E112),""),"")</f>
        <v>0.2705454509</v>
      </c>
      <c r="F226" s="14">
        <f>if(EBITDA_MARGIN!F112&lt;&gt;"",iferror(average(EBITDA_MARGIN!F109:F112),""),"")</f>
        <v>0.05951968809</v>
      </c>
      <c r="G226" s="14">
        <f>if(EBITDA_MARGIN!G112&lt;&gt;"",iferror(average(EBITDA_MARGIN!G109:G112),""),"")</f>
        <v>-0.3173688241</v>
      </c>
      <c r="H226" s="14">
        <f>if(EBITDA_MARGIN!H112&lt;&gt;"",iferror(average(EBITDA_MARGIN!H109:H112),""),"")</f>
        <v>0.1125280631</v>
      </c>
      <c r="I226" s="14">
        <f>if(EBITDA_MARGIN!I112&lt;&gt;"",iferror(average(EBITDA_MARGIN!I109:I112),""),"")</f>
        <v>0.07470402456</v>
      </c>
      <c r="J226" s="14">
        <f>if(EBITDA_MARGIN!J112&lt;&gt;"",iferror(average(EBITDA_MARGIN!J109:J112),""),"")</f>
        <v>0.1195807155</v>
      </c>
      <c r="K226" s="14">
        <f>if(EBITDA_MARGIN!K112&lt;&gt;"",iferror(average(EBITDA_MARGIN!K109:K112),""),"")</f>
        <v>0.06432325217</v>
      </c>
      <c r="L226" s="14">
        <f>if(EBITDA_MARGIN!L112&lt;&gt;"",iferror(average(EBITDA_MARGIN!L109:L112),""),"")</f>
        <v>0.1783175862</v>
      </c>
      <c r="M226" s="14">
        <f>if(EBITDA_MARGIN!M112&lt;&gt;"",iferror(average(EBITDA_MARGIN!M109:M112),""),"")</f>
        <v>0.06516000783</v>
      </c>
      <c r="N226" s="14">
        <f>if(EBITDA_MARGIN!N112&lt;&gt;"",iferror(average(EBITDA_MARGIN!N109:N112),""),"")</f>
        <v>0.1254174227</v>
      </c>
      <c r="O226" s="14" t="str">
        <f>if(EBITDA_MARGIN!O112&lt;&gt;"",iferror(average(EBITDA_MARGIN!O109:O112),""),"")</f>
        <v>#DIV/0!</v>
      </c>
      <c r="P226" s="14">
        <f>if(EBITDA_MARGIN!P112&lt;&gt;"",iferror(average(EBITDA_MARGIN!P109:P112),""),"")</f>
        <v>0.4860026794</v>
      </c>
      <c r="Q226" s="14" t="str">
        <f>if(EBITDA_MARGIN!Q112&lt;&gt;"",iferror(average(EBITDA_MARGIN!Q109:Q112),""),"")</f>
        <v/>
      </c>
      <c r="R226" s="14"/>
      <c r="S226" s="14">
        <f>if(EBITDA_MARGIN!S112&lt;&gt;"",iferror(average(EBITDA_MARGIN!S109:S112),""),"")</f>
        <v>0.1173477338</v>
      </c>
      <c r="T226" s="14">
        <f>if(EBITDA_MARGIN!T112&lt;&gt;"",iferror(average(EBITDA_MARGIN!T109:T112),""),"")</f>
        <v>0.4823190332</v>
      </c>
      <c r="U226" s="14">
        <f>if(EBITDA_MARGIN!U112&lt;&gt;"",iferror(average(EBITDA_MARGIN!U109:U112),""),"")</f>
        <v>-0.07306362503</v>
      </c>
      <c r="V226" s="14" t="str">
        <f>if(EBITDA_MARGIN!V112&lt;&gt;"",iferror(average(EBITDA_MARGIN!V109:V112),""),"")</f>
        <v/>
      </c>
      <c r="W226" s="14" t="str">
        <f>if(EBITDA_MARGIN!W112&lt;&gt;"",iferror(average(EBITDA_MARGIN!W109:W112),""),"")</f>
        <v/>
      </c>
      <c r="X226" s="14">
        <f>if(EBITDA_MARGIN!X112&lt;&gt;"",iferror(average(EBITDA_MARGIN!X109:X112),""),"")</f>
        <v>0.09696454954</v>
      </c>
      <c r="Y226" s="14" t="str">
        <f>if(EBITDA_MARGIN!Y112&lt;&gt;"",iferror(average(EBITDA_MARGIN!Y109:Y112),""),"")</f>
        <v/>
      </c>
      <c r="Z226" s="14" t="str">
        <f>if(EBITDA_MARGIN!Z112&lt;&gt;"",iferror(average(EBITDA_MARGIN!Z109:Z112),""),"")</f>
        <v/>
      </c>
      <c r="AA226" s="14" t="str">
        <f>if(EBITDA_MARGIN!AA112&lt;&gt;"",iferror(average(EBITDA_MARGIN!AA109:AA112),""),"")</f>
        <v/>
      </c>
      <c r="AB226" s="14" t="str">
        <f>if(EBITDA_MARGIN!AB112&lt;&gt;"",iferror(average(EBITDA_MARGIN!AB109:AB112),""),"")</f>
        <v/>
      </c>
      <c r="AC226" s="14" t="str">
        <f>if(EBITDA_MARGIN!AC112&lt;&gt;"",iferror(average(EBITDA_MARGIN!AC109:AC112),""),"")</f>
        <v/>
      </c>
      <c r="AD226" s="12"/>
    </row>
    <row r="227">
      <c r="A227" s="15" t="s">
        <v>140</v>
      </c>
      <c r="B227" s="14">
        <f>if(EBITDA_MARGIN!B113&lt;&gt;"",iferror(average(EBITDA_MARGIN!B110:B113),""),"")</f>
        <v>0.169206183</v>
      </c>
      <c r="C227" s="14">
        <f>if(EBITDA_MARGIN!C113&lt;&gt;"",iferror(average(EBITDA_MARGIN!C110:C113),""),"")</f>
        <v>0.2462697251</v>
      </c>
      <c r="D227" s="14">
        <f>if(EBITDA_MARGIN!D113&lt;&gt;"",iferror(average(EBITDA_MARGIN!D110:D113),""),"")</f>
        <v>0.2003331416</v>
      </c>
      <c r="E227" s="14">
        <f>if(EBITDA_MARGIN!E113&lt;&gt;"",iferror(average(EBITDA_MARGIN!E110:E113),""),"")</f>
        <v>0.2987379899</v>
      </c>
      <c r="F227" s="14">
        <f>if(EBITDA_MARGIN!F113&lt;&gt;"",iferror(average(EBITDA_MARGIN!F110:F113),""),"")</f>
        <v>0.06051596396</v>
      </c>
      <c r="G227" s="14">
        <f>if(EBITDA_MARGIN!G113&lt;&gt;"",iferror(average(EBITDA_MARGIN!G110:G113),""),"")</f>
        <v>-0.0596084881</v>
      </c>
      <c r="H227" s="14">
        <f>if(EBITDA_MARGIN!H113&lt;&gt;"",iferror(average(EBITDA_MARGIN!H110:H113),""),"")</f>
        <v>0.1247738185</v>
      </c>
      <c r="I227" s="14">
        <f>if(EBITDA_MARGIN!I113&lt;&gt;"",iferror(average(EBITDA_MARGIN!I110:I113),""),"")</f>
        <v>0.06720690726</v>
      </c>
      <c r="J227" s="14">
        <f>if(EBITDA_MARGIN!J113&lt;&gt;"",iferror(average(EBITDA_MARGIN!J110:J113),""),"")</f>
        <v>0.1466175253</v>
      </c>
      <c r="K227" s="14">
        <f>if(EBITDA_MARGIN!K113&lt;&gt;"",iferror(average(EBITDA_MARGIN!K110:K113),""),"")</f>
        <v>0.09143476869</v>
      </c>
      <c r="L227" s="14">
        <f>if(EBITDA_MARGIN!L113&lt;&gt;"",iferror(average(EBITDA_MARGIN!L110:L113),""),"")</f>
        <v>0.1909638909</v>
      </c>
      <c r="M227" s="14">
        <f>if(EBITDA_MARGIN!M113&lt;&gt;"",iferror(average(EBITDA_MARGIN!M110:M113),""),"")</f>
        <v>0.05521817778</v>
      </c>
      <c r="N227" s="14">
        <f>if(EBITDA_MARGIN!N113&lt;&gt;"",iferror(average(EBITDA_MARGIN!N110:N113),""),"")</f>
        <v>0.1321510432</v>
      </c>
      <c r="O227" s="14" t="str">
        <f>if(EBITDA_MARGIN!O113&lt;&gt;"",iferror(average(EBITDA_MARGIN!O110:O113),""),"")</f>
        <v>#DIV/0!</v>
      </c>
      <c r="P227" s="14">
        <f>if(EBITDA_MARGIN!P113&lt;&gt;"",iferror(average(EBITDA_MARGIN!P110:P113),""),"")</f>
        <v>0.5047785829</v>
      </c>
      <c r="Q227" s="14" t="str">
        <f>if(EBITDA_MARGIN!Q113&lt;&gt;"",iferror(average(EBITDA_MARGIN!Q110:Q113),""),"")</f>
        <v/>
      </c>
      <c r="R227" s="14"/>
      <c r="S227" s="14">
        <f>if(EBITDA_MARGIN!S113&lt;&gt;"",iferror(average(EBITDA_MARGIN!S110:S113),""),"")</f>
        <v>0.1159130567</v>
      </c>
      <c r="T227" s="14">
        <f>if(EBITDA_MARGIN!T113&lt;&gt;"",iferror(average(EBITDA_MARGIN!T110:T113),""),"")</f>
        <v>0.4285738718</v>
      </c>
      <c r="U227" s="14">
        <f>if(EBITDA_MARGIN!U113&lt;&gt;"",iferror(average(EBITDA_MARGIN!U110:U113),""),"")</f>
        <v>-0.003563497962</v>
      </c>
      <c r="V227" s="14" t="str">
        <f>if(EBITDA_MARGIN!V113&lt;&gt;"",iferror(average(EBITDA_MARGIN!V110:V113),""),"")</f>
        <v/>
      </c>
      <c r="W227" s="14" t="str">
        <f>if(EBITDA_MARGIN!W113&lt;&gt;"",iferror(average(EBITDA_MARGIN!W110:W113),""),"")</f>
        <v/>
      </c>
      <c r="X227" s="14" t="str">
        <f>if(EBITDA_MARGIN!X113&lt;&gt;"",iferror(average(EBITDA_MARGIN!X110:X113),""),"")</f>
        <v/>
      </c>
      <c r="Y227" s="14" t="str">
        <f>if(EBITDA_MARGIN!Y113&lt;&gt;"",iferror(average(EBITDA_MARGIN!Y110:Y113),""),"")</f>
        <v/>
      </c>
      <c r="Z227" s="14" t="str">
        <f>if(EBITDA_MARGIN!Z113&lt;&gt;"",iferror(average(EBITDA_MARGIN!Z110:Z113),""),"")</f>
        <v/>
      </c>
      <c r="AA227" s="14" t="str">
        <f>if(EBITDA_MARGIN!AA113&lt;&gt;"",iferror(average(EBITDA_MARGIN!AA110:AA113),""),"")</f>
        <v/>
      </c>
      <c r="AB227" s="14" t="str">
        <f>if(EBITDA_MARGIN!AB113&lt;&gt;"",iferror(average(EBITDA_MARGIN!AB110:AB113),""),"")</f>
        <v/>
      </c>
      <c r="AC227" s="14" t="str">
        <f>if(EBITDA_MARGIN!AC113&lt;&gt;"",iferror(average(EBITDA_MARGIN!AC110:AC113),""),"")</f>
        <v/>
      </c>
      <c r="AD227" s="12"/>
    </row>
    <row r="228">
      <c r="A228" s="19" t="s">
        <v>141</v>
      </c>
      <c r="B228" s="20">
        <f>if(EBITDA_MARGIN!B114&lt;&gt;"",iferror(average(EBITDA_MARGIN!B111:B114),""),"")</f>
        <v>0.275077318</v>
      </c>
      <c r="C228" s="20">
        <f>if(EBITDA_MARGIN!C114&lt;&gt;"",iferror(average(EBITDA_MARGIN!C111:C114),""),"")</f>
        <v>0.2962596213</v>
      </c>
      <c r="D228" s="21">
        <v>0.202</v>
      </c>
      <c r="E228" s="20">
        <f>if(EBITDA_MARGIN!E114&lt;&gt;"",iferror(average(EBITDA_MARGIN!E111:E114),""),"")</f>
        <v>0.3112533833</v>
      </c>
      <c r="F228" s="20">
        <f>if(EBITDA_MARGIN!F114&lt;&gt;"",iferror(average(EBITDA_MARGIN!F111:F114),""),"")</f>
        <v>0.03939487094</v>
      </c>
      <c r="G228" s="21">
        <v>0.091</v>
      </c>
      <c r="H228" s="20">
        <f>if(EBITDA_MARGIN!H114&lt;&gt;"",iferror(average(EBITDA_MARGIN!H111:H114),""),"")</f>
        <v>0.1412164666</v>
      </c>
      <c r="I228" s="20" t="str">
        <f>if(EBITDA_MARGIN!I114&lt;&gt;"",iferror(average(EBITDA_MARGIN!I111:I114),""),"")</f>
        <v>#DIV/0!</v>
      </c>
      <c r="J228" s="21">
        <v>0.112</v>
      </c>
      <c r="K228" s="21">
        <v>0.094</v>
      </c>
      <c r="L228" s="20" t="str">
        <f>if(EBITDA_MARGIN!L114&lt;&gt;"",iferror(average(EBITDA_MARGIN!L111:L114),""),"")</f>
        <v>#DIV/0!</v>
      </c>
      <c r="M228" s="20" t="str">
        <f>if(EBITDA_MARGIN!M114&lt;&gt;"",iferror(average(EBITDA_MARGIN!M111:M114),""),"")</f>
        <v>#DIV/0!</v>
      </c>
      <c r="N228" s="21">
        <v>0.016</v>
      </c>
      <c r="O228" s="22" t="str">
        <f>if(EBITDA_MARGIN!O114&lt;&gt;"",iferror(average(EBITDA_MARGIN!O111:O114),""),"")</f>
        <v>#DIV/0!</v>
      </c>
      <c r="P228" s="22" t="str">
        <f>if(EBITDA_MARGIN!P114&lt;&gt;"",iferror(average(EBITDA_MARGIN!P111:P114),""),"")</f>
        <v>#DIV/0!</v>
      </c>
      <c r="Q228" s="22" t="str">
        <f>if(EBITDA_MARGIN!Q114&lt;&gt;"",iferror(average(EBITDA_MARGIN!Q111:Q114),""),"")</f>
        <v/>
      </c>
      <c r="R228" s="22"/>
      <c r="S228" s="22">
        <f>if(EBITDA_MARGIN!S114&lt;&gt;"",iferror(average(EBITDA_MARGIN!S111:S114),""),"")</f>
        <v>0.1062976721</v>
      </c>
      <c r="T228" s="22">
        <f>if(EBITDA_MARGIN!T114&lt;&gt;"",iferror(average(EBITDA_MARGIN!T111:T114),""),"")</f>
        <v>0.4023231961</v>
      </c>
      <c r="U228" s="22">
        <f>if(EBITDA_MARGIN!U114&lt;&gt;"",iferror(average(EBITDA_MARGIN!U111:U114),""),"")</f>
        <v>0.006901795822</v>
      </c>
      <c r="V228" s="22" t="str">
        <f>if(EBITDA_MARGIN!V114&lt;&gt;"",iferror(average(EBITDA_MARGIN!V111:V114),""),"")</f>
        <v/>
      </c>
      <c r="W228" s="22" t="str">
        <f>if(EBITDA_MARGIN!W114&lt;&gt;"",iferror(average(EBITDA_MARGIN!W111:W114),""),"")</f>
        <v/>
      </c>
      <c r="X228" s="22" t="str">
        <f>if(EBITDA_MARGIN!X114&lt;&gt;"",iferror(average(EBITDA_MARGIN!X111:X114),""),"")</f>
        <v/>
      </c>
      <c r="Y228" s="22" t="str">
        <f>if(EBITDA_MARGIN!Y114&lt;&gt;"",iferror(average(EBITDA_MARGIN!Y111:Y114),""),"")</f>
        <v/>
      </c>
      <c r="Z228" s="22" t="str">
        <f>if(EBITDA_MARGIN!Z114&lt;&gt;"",iferror(average(EBITDA_MARGIN!Z111:Z114),""),"")</f>
        <v/>
      </c>
      <c r="AA228" s="22" t="str">
        <f>if(EBITDA_MARGIN!AA114&lt;&gt;"",iferror(average(EBITDA_MARGIN!AA111:AA114),""),"")</f>
        <v/>
      </c>
      <c r="AB228" s="22" t="str">
        <f>if(EBITDA_MARGIN!AB114&lt;&gt;"",iferror(average(EBITDA_MARGIN!AB111:AB114),""),"")</f>
        <v/>
      </c>
      <c r="AC228" s="22" t="str">
        <f>if(EBITDA_MARGIN!AC114&lt;&gt;"",iferror(average(EBITDA_MARGIN!AC111:AC114),""),"")</f>
        <v/>
      </c>
      <c r="AD228" s="23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</row>
    <row r="236">
      <c r="A236" s="12"/>
      <c r="B236" s="24">
        <v>-6.0</v>
      </c>
      <c r="C236" s="24">
        <v>-5.0</v>
      </c>
      <c r="D236" s="24">
        <v>-4.0</v>
      </c>
      <c r="E236" s="24">
        <v>-3.0</v>
      </c>
      <c r="F236" s="24">
        <v>-2.0</v>
      </c>
      <c r="G236" s="24">
        <v>-1.0</v>
      </c>
      <c r="H236" s="24">
        <v>0.0</v>
      </c>
      <c r="I236" s="24">
        <v>1.0</v>
      </c>
      <c r="J236" s="24">
        <v>2.0</v>
      </c>
      <c r="K236" s="24">
        <v>3.0</v>
      </c>
      <c r="L236" s="24">
        <v>4.0</v>
      </c>
      <c r="M236" s="24">
        <v>5.0</v>
      </c>
      <c r="N236" s="24">
        <v>6.0</v>
      </c>
      <c r="O236" s="24">
        <v>7.0</v>
      </c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</row>
    <row r="237">
      <c r="A237" s="12"/>
      <c r="B237" s="12">
        <f t="array" ref="B237:P237">transpose(FREQUENCY(B3:AC114,B116:O116))</f>
        <v>0</v>
      </c>
      <c r="C237" s="12">
        <v>0.0</v>
      </c>
      <c r="D237" s="12">
        <v>0.0</v>
      </c>
      <c r="E237" s="12">
        <v>1.0</v>
      </c>
      <c r="F237" s="12">
        <v>2.0</v>
      </c>
      <c r="G237" s="12">
        <v>2.0</v>
      </c>
      <c r="H237" s="12">
        <v>240.0</v>
      </c>
      <c r="I237" s="12">
        <v>815.0</v>
      </c>
      <c r="J237" s="12">
        <v>96.0</v>
      </c>
      <c r="K237" s="12">
        <v>36.0</v>
      </c>
      <c r="L237" s="12">
        <v>15.0</v>
      </c>
      <c r="M237" s="12">
        <v>4.0</v>
      </c>
      <c r="N237" s="12">
        <v>6.0</v>
      </c>
      <c r="O237" s="12">
        <v>0.0</v>
      </c>
      <c r="P237" s="12">
        <v>0.0</v>
      </c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</row>
    <row r="238">
      <c r="A238" s="12"/>
      <c r="B238" s="12"/>
      <c r="C238" s="12"/>
      <c r="D238" s="12"/>
      <c r="E238" s="25">
        <f t="shared" ref="E238:N238" si="1">E237/sum($B237:$P237)</f>
        <v>0.0008216926869</v>
      </c>
      <c r="F238" s="25">
        <f t="shared" si="1"/>
        <v>0.001643385374</v>
      </c>
      <c r="G238" s="25">
        <f t="shared" si="1"/>
        <v>0.001643385374</v>
      </c>
      <c r="H238" s="25">
        <f t="shared" si="1"/>
        <v>0.1972062449</v>
      </c>
      <c r="I238" s="25">
        <f t="shared" si="1"/>
        <v>0.6696795399</v>
      </c>
      <c r="J238" s="25">
        <f t="shared" si="1"/>
        <v>0.07888249795</v>
      </c>
      <c r="K238" s="25">
        <f t="shared" si="1"/>
        <v>0.02958093673</v>
      </c>
      <c r="L238" s="25">
        <f t="shared" si="1"/>
        <v>0.0123253903</v>
      </c>
      <c r="M238" s="25">
        <f t="shared" si="1"/>
        <v>0.003286770748</v>
      </c>
      <c r="N238" s="25">
        <f t="shared" si="1"/>
        <v>0.004930156122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</row>
  </sheetData>
  <conditionalFormatting sqref="B2:U228 V6:W114 X7:AC114 X117:X228 V120:W228 Y120:AC228 B236:O236">
    <cfRule type="colorScale" priority="1">
      <colorScale>
        <cfvo type="formula" val="-50%"/>
        <cfvo type="formula" val="0"/>
        <cfvo type="formula" val="100%"/>
        <color rgb="FFE67C73"/>
        <color rgb="FFFFFFFF"/>
        <color rgb="FF57BB8A"/>
      </colorScale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80.38"/>
    <col customWidth="1" min="6" max="6" width="27.0"/>
  </cols>
  <sheetData>
    <row r="1" ht="30.75" customHeight="1">
      <c r="A1" s="18" t="s">
        <v>143</v>
      </c>
      <c r="B1" s="18" t="s">
        <v>144</v>
      </c>
      <c r="C1" s="18" t="s">
        <v>145</v>
      </c>
      <c r="D1" s="18" t="s">
        <v>146</v>
      </c>
      <c r="E1" s="7"/>
      <c r="F1" s="26" t="s">
        <v>147</v>
      </c>
      <c r="G1" s="18" t="s">
        <v>148</v>
      </c>
      <c r="H1" s="18"/>
      <c r="I1" s="18" t="s">
        <v>149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27" t="s">
        <v>150</v>
      </c>
      <c r="B2" s="27" t="s">
        <v>151</v>
      </c>
      <c r="C2" s="28" t="str">
        <f t="shared" ref="C2:C65" si="1">right(A2,4)</f>
        <v>1999</v>
      </c>
      <c r="D2" s="28">
        <f t="shared" ref="D2:D65" si="2">countif(C$2:C$64,C2)</f>
        <v>2</v>
      </c>
      <c r="E2" s="12" t="str">
        <f>IFERROR(__xludf.DUMMYFUNCTION("unique(C2:C64)"),"1999")</f>
        <v>1999</v>
      </c>
      <c r="F2" s="27" t="s">
        <v>152</v>
      </c>
      <c r="G2" s="29" t="s">
        <v>153</v>
      </c>
      <c r="H2" s="16"/>
      <c r="I2" s="16" t="s">
        <v>154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>
      <c r="A3" s="27" t="s">
        <v>155</v>
      </c>
      <c r="B3" s="27" t="s">
        <v>156</v>
      </c>
      <c r="C3" s="28" t="str">
        <f t="shared" si="1"/>
        <v>1999</v>
      </c>
      <c r="D3" s="28">
        <f t="shared" si="2"/>
        <v>2</v>
      </c>
      <c r="E3" s="12" t="str">
        <f>IFERROR(__xludf.DUMMYFUNCTION("""COMPUTED_VALUE"""),"2000")</f>
        <v>2000</v>
      </c>
      <c r="F3" s="27" t="s">
        <v>157</v>
      </c>
      <c r="G3" s="29" t="s">
        <v>158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>
      <c r="A4" s="27" t="s">
        <v>159</v>
      </c>
      <c r="B4" s="30" t="s">
        <v>160</v>
      </c>
      <c r="C4" s="28" t="str">
        <f t="shared" si="1"/>
        <v>2000</v>
      </c>
      <c r="D4" s="28">
        <f t="shared" si="2"/>
        <v>5</v>
      </c>
      <c r="E4" s="12" t="str">
        <f>IFERROR(__xludf.DUMMYFUNCTION("""COMPUTED_VALUE"""),"2001")</f>
        <v>2001</v>
      </c>
      <c r="F4" s="27" t="s">
        <v>161</v>
      </c>
      <c r="G4" s="29" t="s">
        <v>162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>
      <c r="A5" s="27" t="s">
        <v>159</v>
      </c>
      <c r="B5" s="27" t="s">
        <v>163</v>
      </c>
      <c r="C5" s="28" t="str">
        <f t="shared" si="1"/>
        <v>2000</v>
      </c>
      <c r="D5" s="28">
        <f t="shared" si="2"/>
        <v>5</v>
      </c>
      <c r="E5" s="12" t="str">
        <f>IFERROR(__xludf.DUMMYFUNCTION("""COMPUTED_VALUE"""),"2002")</f>
        <v>2002</v>
      </c>
      <c r="F5" s="27" t="s">
        <v>164</v>
      </c>
      <c r="G5" s="29" t="s">
        <v>165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>
      <c r="A6" s="27" t="s">
        <v>159</v>
      </c>
      <c r="B6" s="31" t="s">
        <v>166</v>
      </c>
      <c r="C6" s="28" t="str">
        <f t="shared" si="1"/>
        <v>2000</v>
      </c>
      <c r="D6" s="28">
        <f t="shared" si="2"/>
        <v>5</v>
      </c>
      <c r="E6" s="12" t="str">
        <f>IFERROR(__xludf.DUMMYFUNCTION("""COMPUTED_VALUE"""),"2003")</f>
        <v>2003</v>
      </c>
      <c r="F6" s="27" t="s">
        <v>167</v>
      </c>
      <c r="G6" s="29" t="s">
        <v>168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>
      <c r="A7" s="27" t="s">
        <v>169</v>
      </c>
      <c r="B7" s="31" t="s">
        <v>170</v>
      </c>
      <c r="C7" s="28" t="str">
        <f t="shared" si="1"/>
        <v>2000</v>
      </c>
      <c r="D7" s="28">
        <f t="shared" si="2"/>
        <v>5</v>
      </c>
      <c r="E7" s="12" t="str">
        <f>IFERROR(__xludf.DUMMYFUNCTION("""COMPUTED_VALUE"""),"2004")</f>
        <v>2004</v>
      </c>
      <c r="F7" s="27" t="s">
        <v>171</v>
      </c>
      <c r="G7" s="29" t="s">
        <v>172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>
      <c r="A8" s="27" t="s">
        <v>173</v>
      </c>
      <c r="B8" s="30" t="s">
        <v>174</v>
      </c>
      <c r="C8" s="28" t="str">
        <f t="shared" si="1"/>
        <v>2000</v>
      </c>
      <c r="D8" s="28">
        <f t="shared" si="2"/>
        <v>5</v>
      </c>
      <c r="E8" s="12" t="str">
        <f>IFERROR(__xludf.DUMMYFUNCTION("""COMPUTED_VALUE"""),"2005")</f>
        <v>2005</v>
      </c>
      <c r="F8" s="27" t="s">
        <v>175</v>
      </c>
      <c r="G8" s="29" t="s">
        <v>176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>
      <c r="A9" s="27" t="s">
        <v>177</v>
      </c>
      <c r="B9" s="31" t="s">
        <v>178</v>
      </c>
      <c r="C9" s="28" t="str">
        <f t="shared" si="1"/>
        <v>2001</v>
      </c>
      <c r="D9" s="28">
        <f t="shared" si="2"/>
        <v>2</v>
      </c>
      <c r="E9" s="12" t="str">
        <f>IFERROR(__xludf.DUMMYFUNCTION("""COMPUTED_VALUE"""),"2006")</f>
        <v>2006</v>
      </c>
      <c r="F9" s="32"/>
      <c r="G9" s="32"/>
      <c r="H9" s="32"/>
      <c r="I9" s="32" t="s">
        <v>179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>
      <c r="A10" s="27" t="s">
        <v>180</v>
      </c>
      <c r="B10" s="33" t="s">
        <v>181</v>
      </c>
      <c r="C10" s="28" t="str">
        <f t="shared" si="1"/>
        <v>2001</v>
      </c>
      <c r="D10" s="28">
        <f t="shared" si="2"/>
        <v>2</v>
      </c>
      <c r="E10" s="12" t="str">
        <f>IFERROR(__xludf.DUMMYFUNCTION("""COMPUTED_VALUE"""),"2007")</f>
        <v>2007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>
      <c r="A11" s="27" t="s">
        <v>182</v>
      </c>
      <c r="B11" s="31" t="s">
        <v>183</v>
      </c>
      <c r="C11" s="28" t="str">
        <f t="shared" si="1"/>
        <v>2002</v>
      </c>
      <c r="D11" s="28">
        <f t="shared" si="2"/>
        <v>1</v>
      </c>
      <c r="E11" s="12" t="str">
        <f>IFERROR(__xludf.DUMMYFUNCTION("""COMPUTED_VALUE"""),"2008")</f>
        <v>2008</v>
      </c>
      <c r="F11" s="16"/>
      <c r="G11" s="16"/>
      <c r="H11" s="16"/>
      <c r="I11" s="16" t="s">
        <v>184</v>
      </c>
      <c r="J11" s="12"/>
      <c r="K11" s="16" t="s">
        <v>185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>
      <c r="A12" s="27" t="s">
        <v>186</v>
      </c>
      <c r="B12" s="31" t="s">
        <v>187</v>
      </c>
      <c r="C12" s="28" t="str">
        <f t="shared" si="1"/>
        <v>2003</v>
      </c>
      <c r="D12" s="28">
        <f t="shared" si="2"/>
        <v>2</v>
      </c>
      <c r="E12" s="12" t="str">
        <f>IFERROR(__xludf.DUMMYFUNCTION("""COMPUTED_VALUE"""),"2010")</f>
        <v>2010</v>
      </c>
      <c r="F12" s="16"/>
      <c r="G12" s="16"/>
      <c r="H12" s="16"/>
      <c r="I12" s="16" t="s">
        <v>188</v>
      </c>
      <c r="J12" s="12"/>
      <c r="K12" s="16" t="s">
        <v>189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>
      <c r="A13" s="27" t="s">
        <v>186</v>
      </c>
      <c r="B13" s="27" t="s">
        <v>190</v>
      </c>
      <c r="C13" s="28" t="str">
        <f t="shared" si="1"/>
        <v>2003</v>
      </c>
      <c r="D13" s="28">
        <f t="shared" si="2"/>
        <v>2</v>
      </c>
      <c r="E13" s="12" t="str">
        <f>IFERROR(__xludf.DUMMYFUNCTION("""COMPUTED_VALUE"""),"2011")</f>
        <v>2011</v>
      </c>
      <c r="F13" s="16"/>
      <c r="G13" s="16"/>
      <c r="H13" s="16"/>
      <c r="I13" s="16" t="s">
        <v>191</v>
      </c>
      <c r="J13" s="12"/>
      <c r="K13" s="16" t="s">
        <v>192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>
      <c r="A14" s="27" t="s">
        <v>193</v>
      </c>
      <c r="B14" s="27" t="s">
        <v>194</v>
      </c>
      <c r="C14" s="28" t="str">
        <f t="shared" si="1"/>
        <v>2004</v>
      </c>
      <c r="D14" s="28">
        <f t="shared" si="2"/>
        <v>2</v>
      </c>
      <c r="E14" s="12" t="str">
        <f>IFERROR(__xludf.DUMMYFUNCTION("""COMPUTED_VALUE"""),"2012")</f>
        <v>2012</v>
      </c>
      <c r="F14" s="16"/>
      <c r="G14" s="16"/>
      <c r="H14" s="16"/>
      <c r="I14" s="16" t="s">
        <v>195</v>
      </c>
      <c r="J14" s="12"/>
      <c r="K14" s="16" t="s">
        <v>196</v>
      </c>
      <c r="L14" s="12"/>
      <c r="M14" s="16" t="s">
        <v>197</v>
      </c>
      <c r="N14" s="34" t="s">
        <v>198</v>
      </c>
      <c r="O14" s="35"/>
      <c r="P14" s="16" t="s">
        <v>199</v>
      </c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>
      <c r="A15" s="27" t="s">
        <v>193</v>
      </c>
      <c r="B15" s="31" t="s">
        <v>200</v>
      </c>
      <c r="C15" s="28" t="str">
        <f t="shared" si="1"/>
        <v>2004</v>
      </c>
      <c r="D15" s="28">
        <f t="shared" si="2"/>
        <v>2</v>
      </c>
      <c r="E15" s="12" t="str">
        <f>IFERROR(__xludf.DUMMYFUNCTION("""COMPUTED_VALUE"""),"2013")</f>
        <v>2013</v>
      </c>
      <c r="F15" s="12"/>
      <c r="G15" s="12"/>
      <c r="H15" s="12"/>
      <c r="I15" s="12"/>
      <c r="J15" s="12"/>
      <c r="K15" s="12"/>
      <c r="L15" s="12"/>
      <c r="M15" s="12"/>
      <c r="N15" s="36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>
      <c r="A16" s="27" t="s">
        <v>201</v>
      </c>
      <c r="B16" s="30" t="s">
        <v>202</v>
      </c>
      <c r="C16" s="28" t="str">
        <f t="shared" si="1"/>
        <v>2005</v>
      </c>
      <c r="D16" s="28">
        <f t="shared" si="2"/>
        <v>2</v>
      </c>
      <c r="E16" s="12" t="str">
        <f>IFERROR(__xludf.DUMMYFUNCTION("""COMPUTED_VALUE"""),"2014")</f>
        <v>2014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>
      <c r="A17" s="27" t="s">
        <v>203</v>
      </c>
      <c r="B17" s="37" t="s">
        <v>204</v>
      </c>
      <c r="C17" s="28" t="str">
        <f t="shared" si="1"/>
        <v>2005</v>
      </c>
      <c r="D17" s="28">
        <f t="shared" si="2"/>
        <v>2</v>
      </c>
      <c r="E17" s="12" t="str">
        <f>IFERROR(__xludf.DUMMYFUNCTION("""COMPUTED_VALUE"""),"2015")</f>
        <v>2015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>
      <c r="A18" s="27" t="s">
        <v>205</v>
      </c>
      <c r="B18" s="27" t="s">
        <v>206</v>
      </c>
      <c r="C18" s="28" t="str">
        <f t="shared" si="1"/>
        <v>2006</v>
      </c>
      <c r="D18" s="28">
        <f t="shared" si="2"/>
        <v>1</v>
      </c>
      <c r="E18" s="12" t="str">
        <f>IFERROR(__xludf.DUMMYFUNCTION("""COMPUTED_VALUE"""),"2016")</f>
        <v>2016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>
      <c r="A19" s="27" t="s">
        <v>207</v>
      </c>
      <c r="B19" s="27" t="s">
        <v>208</v>
      </c>
      <c r="C19" s="28" t="str">
        <f t="shared" si="1"/>
        <v>2007</v>
      </c>
      <c r="D19" s="28">
        <f t="shared" si="2"/>
        <v>2</v>
      </c>
      <c r="E19" s="12" t="str">
        <f>IFERROR(__xludf.DUMMYFUNCTION("""COMPUTED_VALUE"""),"2017")</f>
        <v>2017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>
      <c r="A20" s="27" t="s">
        <v>209</v>
      </c>
      <c r="B20" s="27" t="s">
        <v>210</v>
      </c>
      <c r="C20" s="28" t="str">
        <f t="shared" si="1"/>
        <v>2007</v>
      </c>
      <c r="D20" s="28">
        <f t="shared" si="2"/>
        <v>2</v>
      </c>
      <c r="E20" s="12" t="str">
        <f>IFERROR(__xludf.DUMMYFUNCTION("""COMPUTED_VALUE"""),"2018")</f>
        <v>2018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>
      <c r="A21" s="27" t="s">
        <v>211</v>
      </c>
      <c r="B21" s="27" t="s">
        <v>212</v>
      </c>
      <c r="C21" s="28" t="str">
        <f t="shared" si="1"/>
        <v>2008</v>
      </c>
      <c r="D21" s="28">
        <f t="shared" si="2"/>
        <v>1</v>
      </c>
      <c r="E21" s="12" t="str">
        <f>IFERROR(__xludf.DUMMYFUNCTION("""COMPUTED_VALUE"""),"2019")</f>
        <v>2019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>
      <c r="A22" s="27" t="s">
        <v>213</v>
      </c>
      <c r="B22" s="27" t="s">
        <v>214</v>
      </c>
      <c r="C22" s="28" t="str">
        <f t="shared" si="1"/>
        <v>2010</v>
      </c>
      <c r="D22" s="28">
        <f t="shared" si="2"/>
        <v>2</v>
      </c>
      <c r="E22" s="12" t="str">
        <f>IFERROR(__xludf.DUMMYFUNCTION("""COMPUTED_VALUE"""),"2020")</f>
        <v>2020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>
      <c r="A23" s="27" t="s">
        <v>215</v>
      </c>
      <c r="B23" s="27" t="s">
        <v>216</v>
      </c>
      <c r="C23" s="28" t="str">
        <f t="shared" si="1"/>
        <v>2010</v>
      </c>
      <c r="D23" s="28">
        <f t="shared" si="2"/>
        <v>2</v>
      </c>
      <c r="E23" s="12" t="str">
        <f>IFERROR(__xludf.DUMMYFUNCTION("""COMPUTED_VALUE"""),"2021")</f>
        <v>2021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>
      <c r="A24" s="27" t="s">
        <v>217</v>
      </c>
      <c r="B24" s="27" t="s">
        <v>218</v>
      </c>
      <c r="C24" s="28" t="str">
        <f t="shared" si="1"/>
        <v>2011</v>
      </c>
      <c r="D24" s="28">
        <f t="shared" si="2"/>
        <v>3</v>
      </c>
      <c r="E24" s="12" t="str">
        <f>IFERROR(__xludf.DUMMYFUNCTION("""COMPUTED_VALUE"""),"2023")</f>
        <v>2023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>
      <c r="A25" s="27" t="s">
        <v>219</v>
      </c>
      <c r="B25" s="27" t="s">
        <v>220</v>
      </c>
      <c r="C25" s="28" t="str">
        <f t="shared" si="1"/>
        <v>2011</v>
      </c>
      <c r="D25" s="28">
        <f t="shared" si="2"/>
        <v>3</v>
      </c>
      <c r="E25" s="12" t="str">
        <f>IFERROR(__xludf.DUMMYFUNCTION("""COMPUTED_VALUE"""),"2024")</f>
        <v>2024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>
      <c r="A26" s="27" t="s">
        <v>221</v>
      </c>
      <c r="B26" s="27" t="s">
        <v>222</v>
      </c>
      <c r="C26" s="28" t="str">
        <f t="shared" si="1"/>
        <v>2011</v>
      </c>
      <c r="D26" s="28">
        <f t="shared" si="2"/>
        <v>3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>
      <c r="A27" s="27" t="s">
        <v>223</v>
      </c>
      <c r="B27" s="27" t="s">
        <v>224</v>
      </c>
      <c r="C27" s="28" t="str">
        <f t="shared" si="1"/>
        <v>2012</v>
      </c>
      <c r="D27" s="28">
        <f t="shared" si="2"/>
        <v>3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>
      <c r="A28" s="27" t="s">
        <v>225</v>
      </c>
      <c r="B28" s="27" t="s">
        <v>226</v>
      </c>
      <c r="C28" s="28" t="str">
        <f t="shared" si="1"/>
        <v>2012</v>
      </c>
      <c r="D28" s="28">
        <f t="shared" si="2"/>
        <v>3</v>
      </c>
      <c r="E28" s="16" t="s">
        <v>227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>
      <c r="A29" s="27" t="s">
        <v>228</v>
      </c>
      <c r="B29" s="27" t="s">
        <v>229</v>
      </c>
      <c r="C29" s="28" t="str">
        <f t="shared" si="1"/>
        <v>2012</v>
      </c>
      <c r="D29" s="28">
        <f t="shared" si="2"/>
        <v>3</v>
      </c>
      <c r="E29" s="16">
        <v>2002.0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>
      <c r="A30" s="27" t="s">
        <v>230</v>
      </c>
      <c r="B30" s="30" t="s">
        <v>231</v>
      </c>
      <c r="C30" s="28" t="str">
        <f t="shared" si="1"/>
        <v>2013</v>
      </c>
      <c r="D30" s="28">
        <f t="shared" si="2"/>
        <v>1</v>
      </c>
      <c r="E30" s="16">
        <v>2022.0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>
      <c r="A31" s="27" t="s">
        <v>232</v>
      </c>
      <c r="B31" s="27" t="s">
        <v>233</v>
      </c>
      <c r="C31" s="28" t="str">
        <f t="shared" si="1"/>
        <v>2014</v>
      </c>
      <c r="D31" s="28">
        <f t="shared" si="2"/>
        <v>5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>
      <c r="A32" s="27" t="s">
        <v>232</v>
      </c>
      <c r="B32" s="27" t="s">
        <v>234</v>
      </c>
      <c r="C32" s="28" t="str">
        <f t="shared" si="1"/>
        <v>2014</v>
      </c>
      <c r="D32" s="28">
        <f t="shared" si="2"/>
        <v>5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>
      <c r="A33" s="27" t="s">
        <v>232</v>
      </c>
      <c r="B33" s="30" t="s">
        <v>235</v>
      </c>
      <c r="C33" s="28" t="str">
        <f t="shared" si="1"/>
        <v>2014</v>
      </c>
      <c r="D33" s="28">
        <f t="shared" si="2"/>
        <v>5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>
      <c r="A34" s="27" t="s">
        <v>236</v>
      </c>
      <c r="B34" s="27" t="s">
        <v>237</v>
      </c>
      <c r="C34" s="28" t="str">
        <f t="shared" si="1"/>
        <v>2014</v>
      </c>
      <c r="D34" s="28">
        <f t="shared" si="2"/>
        <v>5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>
      <c r="A35" s="27" t="s">
        <v>238</v>
      </c>
      <c r="B35" s="27" t="s">
        <v>239</v>
      </c>
      <c r="C35" s="28" t="str">
        <f t="shared" si="1"/>
        <v>2014</v>
      </c>
      <c r="D35" s="28">
        <f t="shared" si="2"/>
        <v>5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>
      <c r="A36" s="27" t="s">
        <v>240</v>
      </c>
      <c r="B36" s="27" t="s">
        <v>241</v>
      </c>
      <c r="C36" s="28" t="str">
        <f t="shared" si="1"/>
        <v>2015</v>
      </c>
      <c r="D36" s="28">
        <f t="shared" si="2"/>
        <v>5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>
      <c r="A37" s="27" t="s">
        <v>242</v>
      </c>
      <c r="B37" s="27" t="s">
        <v>243</v>
      </c>
      <c r="C37" s="28" t="str">
        <f t="shared" si="1"/>
        <v>2015</v>
      </c>
      <c r="D37" s="28">
        <f t="shared" si="2"/>
        <v>5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>
      <c r="A38" s="27" t="s">
        <v>244</v>
      </c>
      <c r="B38" s="27" t="s">
        <v>245</v>
      </c>
      <c r="C38" s="28" t="str">
        <f t="shared" si="1"/>
        <v>2015</v>
      </c>
      <c r="D38" s="28">
        <f t="shared" si="2"/>
        <v>5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>
      <c r="A39" s="27" t="s">
        <v>246</v>
      </c>
      <c r="B39" s="27" t="s">
        <v>247</v>
      </c>
      <c r="C39" s="28" t="str">
        <f t="shared" si="1"/>
        <v>2015</v>
      </c>
      <c r="D39" s="28">
        <f t="shared" si="2"/>
        <v>5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>
      <c r="A40" s="27" t="s">
        <v>248</v>
      </c>
      <c r="B40" s="27" t="s">
        <v>249</v>
      </c>
      <c r="C40" s="28" t="str">
        <f t="shared" si="1"/>
        <v>2015</v>
      </c>
      <c r="D40" s="28">
        <f t="shared" si="2"/>
        <v>5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>
      <c r="A41" s="27" t="s">
        <v>250</v>
      </c>
      <c r="B41" s="27" t="s">
        <v>251</v>
      </c>
      <c r="C41" s="28" t="str">
        <f t="shared" si="1"/>
        <v>2016</v>
      </c>
      <c r="D41" s="28">
        <f t="shared" si="2"/>
        <v>5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>
      <c r="A42" s="27" t="s">
        <v>252</v>
      </c>
      <c r="B42" s="30" t="s">
        <v>253</v>
      </c>
      <c r="C42" s="28" t="str">
        <f t="shared" si="1"/>
        <v>2016</v>
      </c>
      <c r="D42" s="28">
        <f t="shared" si="2"/>
        <v>5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>
      <c r="A43" s="27" t="s">
        <v>254</v>
      </c>
      <c r="B43" s="27" t="s">
        <v>255</v>
      </c>
      <c r="C43" s="28" t="str">
        <f t="shared" si="1"/>
        <v>2016</v>
      </c>
      <c r="D43" s="28">
        <f t="shared" si="2"/>
        <v>5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>
      <c r="A44" s="27" t="s">
        <v>256</v>
      </c>
      <c r="B44" s="27" t="s">
        <v>257</v>
      </c>
      <c r="C44" s="28" t="str">
        <f t="shared" si="1"/>
        <v>2016</v>
      </c>
      <c r="D44" s="28">
        <f t="shared" si="2"/>
        <v>5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>
      <c r="A45" s="27" t="s">
        <v>258</v>
      </c>
      <c r="B45" s="27" t="s">
        <v>259</v>
      </c>
      <c r="C45" s="28" t="str">
        <f t="shared" si="1"/>
        <v>2016</v>
      </c>
      <c r="D45" s="28">
        <f t="shared" si="2"/>
        <v>5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>
      <c r="A46" s="27" t="s">
        <v>260</v>
      </c>
      <c r="B46" s="27" t="s">
        <v>261</v>
      </c>
      <c r="C46" s="28" t="str">
        <f t="shared" si="1"/>
        <v>2017</v>
      </c>
      <c r="D46" s="28">
        <f t="shared" si="2"/>
        <v>4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>
      <c r="A47" s="27" t="s">
        <v>260</v>
      </c>
      <c r="B47" s="30" t="s">
        <v>262</v>
      </c>
      <c r="C47" s="28" t="str">
        <f t="shared" si="1"/>
        <v>2017</v>
      </c>
      <c r="D47" s="28">
        <f t="shared" si="2"/>
        <v>4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>
      <c r="A48" s="27" t="s">
        <v>263</v>
      </c>
      <c r="B48" s="27" t="s">
        <v>264</v>
      </c>
      <c r="C48" s="28" t="str">
        <f t="shared" si="1"/>
        <v>2017</v>
      </c>
      <c r="D48" s="28">
        <f t="shared" si="2"/>
        <v>4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>
      <c r="A49" s="27" t="s">
        <v>265</v>
      </c>
      <c r="B49" s="27" t="s">
        <v>266</v>
      </c>
      <c r="C49" s="28" t="str">
        <f t="shared" si="1"/>
        <v>2017</v>
      </c>
      <c r="D49" s="28">
        <f t="shared" si="2"/>
        <v>4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>
      <c r="A50" s="27" t="s">
        <v>267</v>
      </c>
      <c r="B50" s="27" t="s">
        <v>268</v>
      </c>
      <c r="C50" s="28" t="str">
        <f t="shared" si="1"/>
        <v>2018</v>
      </c>
      <c r="D50" s="28">
        <f t="shared" si="2"/>
        <v>2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>
      <c r="A51" s="27" t="s">
        <v>269</v>
      </c>
      <c r="B51" s="27" t="s">
        <v>270</v>
      </c>
      <c r="C51" s="28" t="str">
        <f t="shared" si="1"/>
        <v>2018</v>
      </c>
      <c r="D51" s="28">
        <f t="shared" si="2"/>
        <v>2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>
      <c r="A52" s="27" t="s">
        <v>271</v>
      </c>
      <c r="B52" s="27" t="s">
        <v>272</v>
      </c>
      <c r="C52" s="28" t="str">
        <f t="shared" si="1"/>
        <v>2019</v>
      </c>
      <c r="D52" s="28">
        <f t="shared" si="2"/>
        <v>5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>
      <c r="A53" s="27" t="s">
        <v>273</v>
      </c>
      <c r="B53" s="27" t="s">
        <v>274</v>
      </c>
      <c r="C53" s="28" t="str">
        <f t="shared" si="1"/>
        <v>2019</v>
      </c>
      <c r="D53" s="28">
        <f t="shared" si="2"/>
        <v>5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>
      <c r="A54" s="27" t="s">
        <v>275</v>
      </c>
      <c r="B54" s="27" t="s">
        <v>276</v>
      </c>
      <c r="C54" s="28" t="str">
        <f t="shared" si="1"/>
        <v>2019</v>
      </c>
      <c r="D54" s="28">
        <f t="shared" si="2"/>
        <v>5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>
      <c r="A55" s="27" t="s">
        <v>277</v>
      </c>
      <c r="B55" s="27" t="s">
        <v>278</v>
      </c>
      <c r="C55" s="28" t="str">
        <f t="shared" si="1"/>
        <v>2019</v>
      </c>
      <c r="D55" s="28">
        <f t="shared" si="2"/>
        <v>5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>
      <c r="A56" s="27" t="s">
        <v>279</v>
      </c>
      <c r="B56" s="30" t="s">
        <v>280</v>
      </c>
      <c r="C56" s="28" t="str">
        <f t="shared" si="1"/>
        <v>2019</v>
      </c>
      <c r="D56" s="28">
        <f t="shared" si="2"/>
        <v>5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>
      <c r="A57" s="27" t="s">
        <v>281</v>
      </c>
      <c r="B57" s="27" t="s">
        <v>282</v>
      </c>
      <c r="C57" s="28" t="str">
        <f t="shared" si="1"/>
        <v>2020</v>
      </c>
      <c r="D57" s="28">
        <f t="shared" si="2"/>
        <v>2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>
      <c r="A58" s="27" t="s">
        <v>283</v>
      </c>
      <c r="B58" s="27" t="s">
        <v>284</v>
      </c>
      <c r="C58" s="28" t="str">
        <f t="shared" si="1"/>
        <v>2020</v>
      </c>
      <c r="D58" s="28">
        <f t="shared" si="2"/>
        <v>2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>
      <c r="A59" s="27" t="s">
        <v>285</v>
      </c>
      <c r="B59" s="27" t="s">
        <v>286</v>
      </c>
      <c r="C59" s="28" t="str">
        <f t="shared" si="1"/>
        <v>2021</v>
      </c>
      <c r="D59" s="28">
        <f t="shared" si="2"/>
        <v>2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>
      <c r="A60" s="27" t="s">
        <v>287</v>
      </c>
      <c r="B60" s="27" t="s">
        <v>288</v>
      </c>
      <c r="C60" s="28" t="str">
        <f t="shared" si="1"/>
        <v>2021</v>
      </c>
      <c r="D60" s="28">
        <f t="shared" si="2"/>
        <v>2</v>
      </c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>
      <c r="A61" s="27" t="s">
        <v>289</v>
      </c>
      <c r="B61" s="27" t="s">
        <v>290</v>
      </c>
      <c r="C61" s="28" t="str">
        <f t="shared" si="1"/>
        <v>2023</v>
      </c>
      <c r="D61" s="28">
        <f t="shared" si="2"/>
        <v>1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>
      <c r="A62" s="27" t="s">
        <v>291</v>
      </c>
      <c r="B62" s="27" t="s">
        <v>292</v>
      </c>
      <c r="C62" s="28" t="str">
        <f t="shared" si="1"/>
        <v>2024</v>
      </c>
      <c r="D62" s="28">
        <f t="shared" si="2"/>
        <v>3</v>
      </c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>
      <c r="A63" s="27" t="s">
        <v>293</v>
      </c>
      <c r="B63" s="27" t="s">
        <v>294</v>
      </c>
      <c r="C63" s="28" t="str">
        <f t="shared" si="1"/>
        <v>2024</v>
      </c>
      <c r="D63" s="28">
        <f t="shared" si="2"/>
        <v>3</v>
      </c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>
      <c r="A64" s="27" t="s">
        <v>295</v>
      </c>
      <c r="B64" s="27" t="s">
        <v>296</v>
      </c>
      <c r="C64" s="28" t="str">
        <f t="shared" si="1"/>
        <v>2024</v>
      </c>
      <c r="D64" s="28">
        <f t="shared" si="2"/>
        <v>3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>
      <c r="A65" s="27" t="s">
        <v>297</v>
      </c>
      <c r="B65" s="27" t="s">
        <v>298</v>
      </c>
      <c r="C65" s="28" t="str">
        <f t="shared" si="1"/>
        <v>2024</v>
      </c>
      <c r="D65" s="28">
        <f t="shared" si="2"/>
        <v>3</v>
      </c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>
      <c r="A66" s="16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>
      <c r="A67" s="16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>
      <c r="A68" s="16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>
      <c r="A69" s="16" t="s">
        <v>299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>
      <c r="A70" s="16">
        <v>2007.0</v>
      </c>
      <c r="B70" s="38" t="s">
        <v>300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>
      <c r="A71" s="16">
        <v>2010.0</v>
      </c>
      <c r="B71" s="16" t="s">
        <v>301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>
      <c r="A72" s="16">
        <v>2014.0</v>
      </c>
      <c r="B72" s="16" t="s">
        <v>302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>
      <c r="A73" s="16">
        <v>2014.0</v>
      </c>
      <c r="B73" s="16" t="s">
        <v>303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>
      <c r="A74" s="16" t="s">
        <v>304</v>
      </c>
      <c r="B74" s="16" t="s">
        <v>305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>
      <c r="A75" s="16" t="s">
        <v>236</v>
      </c>
      <c r="B75" s="16" t="s">
        <v>306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>
      <c r="A76" s="16" t="s">
        <v>252</v>
      </c>
      <c r="B76" s="16" t="s">
        <v>307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>
      <c r="A77" s="27" t="s">
        <v>254</v>
      </c>
      <c r="B77" s="27" t="s">
        <v>308</v>
      </c>
      <c r="C77" s="28" t="str">
        <f>right(A77,4)</f>
        <v>2016</v>
      </c>
      <c r="D77" s="28">
        <f>countif(C$2:C$64,C77)</f>
        <v>5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>
      <c r="A78" s="16">
        <v>2017.0</v>
      </c>
      <c r="B78" s="16" t="s">
        <v>309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>
      <c r="A79" s="16">
        <v>2018.0</v>
      </c>
      <c r="B79" s="16" t="s">
        <v>310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>
      <c r="A80" s="16">
        <v>2019.0</v>
      </c>
      <c r="B80" s="16" t="s">
        <v>311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>
      <c r="A81" s="16">
        <v>2019.0</v>
      </c>
      <c r="B81" s="16" t="s">
        <v>312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>
      <c r="A82" s="16" t="s">
        <v>313</v>
      </c>
      <c r="B82" s="16" t="s">
        <v>314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>
      <c r="A83" s="16" t="s">
        <v>315</v>
      </c>
      <c r="B83" s="16" t="s">
        <v>316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>
      <c r="A84" s="16" t="s">
        <v>317</v>
      </c>
      <c r="B84" s="16" t="s">
        <v>318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>
      <c r="A85" s="16" t="s">
        <v>319</v>
      </c>
      <c r="B85" s="16" t="s">
        <v>320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>
      <c r="A86" s="16" t="s">
        <v>321</v>
      </c>
      <c r="B86" s="16" t="s">
        <v>322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>
      <c r="A87" s="16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>
      <c r="A88" s="16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>
      <c r="A89" s="16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>
      <c r="A90" s="16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</row>
    <row r="100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</row>
    <row r="1003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</row>
    <row r="1004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</row>
    <row r="1005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</row>
    <row r="1006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</row>
    <row r="1007">
      <c r="A1007" s="12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</row>
    <row r="1008">
      <c r="A1008" s="12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</row>
    <row r="1009">
      <c r="A1009" s="12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</row>
    <row r="1010">
      <c r="A1010" s="12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</row>
    <row r="1011">
      <c r="A1011" s="12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</row>
    <row r="1012">
      <c r="A1012" s="12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</row>
    <row r="1013">
      <c r="A1013" s="12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</row>
    <row r="1014">
      <c r="A1014" s="12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</row>
    <row r="1015">
      <c r="A1015" s="12"/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</row>
    <row r="1016">
      <c r="A1016" s="12"/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</row>
    <row r="1017">
      <c r="A1017" s="12"/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</row>
    <row r="1018">
      <c r="A1018" s="12"/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</row>
    <row r="1019">
      <c r="A1019" s="12"/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</row>
    <row r="1020">
      <c r="A1020" s="12"/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</row>
    <row r="1021">
      <c r="A1021" s="12"/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</row>
    <row r="1022">
      <c r="A1022" s="12"/>
      <c r="B1022" s="12"/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</row>
    <row r="1023">
      <c r="A1023" s="12"/>
      <c r="B1023" s="12"/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</row>
    <row r="1024">
      <c r="A1024" s="12"/>
      <c r="B1024" s="12"/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</row>
    <row r="1025">
      <c r="A1025" s="12"/>
      <c r="B1025" s="12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</row>
    <row r="1026">
      <c r="A1026" s="12"/>
      <c r="B1026" s="12"/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</row>
    <row r="1027">
      <c r="A1027" s="12"/>
      <c r="B1027" s="12"/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</row>
    <row r="1028">
      <c r="A1028" s="12"/>
      <c r="B1028" s="12"/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</row>
    <row r="1029">
      <c r="A1029" s="12"/>
      <c r="B1029" s="12"/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</row>
    <row r="1030">
      <c r="A1030" s="12"/>
      <c r="B1030" s="12"/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</row>
    <row r="1031">
      <c r="A1031" s="12"/>
      <c r="B1031" s="12"/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</row>
    <row r="1032">
      <c r="A1032" s="12"/>
      <c r="B1032" s="12"/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</row>
    <row r="1033">
      <c r="A1033" s="12"/>
      <c r="B1033" s="12"/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</row>
    <row r="1034">
      <c r="A1034" s="12"/>
      <c r="B1034" s="12"/>
      <c r="C1034" s="12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</row>
    <row r="1035">
      <c r="A1035" s="12"/>
      <c r="B1035" s="12"/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</row>
    <row r="1036">
      <c r="A1036" s="12"/>
      <c r="B1036" s="12"/>
      <c r="C1036" s="12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</row>
    <row r="1037">
      <c r="A1037" s="12"/>
      <c r="B1037" s="12"/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</row>
    <row r="1038">
      <c r="A1038" s="12"/>
      <c r="B1038" s="12"/>
      <c r="C1038" s="12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</row>
    <row r="1039">
      <c r="A1039" s="12"/>
      <c r="B1039" s="12"/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</row>
    <row r="1040">
      <c r="A1040" s="12"/>
      <c r="B1040" s="12"/>
      <c r="C1040" s="12"/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</row>
    <row r="1041">
      <c r="A1041" s="12"/>
      <c r="B1041" s="12"/>
      <c r="C1041" s="12"/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</row>
    <row r="1042">
      <c r="A1042" s="12"/>
      <c r="B1042" s="12"/>
      <c r="C1042" s="12"/>
      <c r="D1042" s="12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</row>
    <row r="1043">
      <c r="A1043" s="12"/>
      <c r="B1043" s="12"/>
      <c r="C1043" s="12"/>
      <c r="D1043" s="12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</row>
    <row r="1044">
      <c r="A1044" s="12"/>
      <c r="B1044" s="12"/>
      <c r="C1044" s="12"/>
      <c r="D1044" s="12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</row>
    <row r="1045">
      <c r="A1045" s="12"/>
      <c r="B1045" s="12"/>
      <c r="C1045" s="12"/>
      <c r="D1045" s="12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</row>
    <row r="1046">
      <c r="A1046" s="12"/>
      <c r="B1046" s="12"/>
      <c r="C1046" s="12"/>
      <c r="D1046" s="12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</row>
    <row r="1047">
      <c r="A1047" s="12"/>
      <c r="B1047" s="12"/>
      <c r="C1047" s="12"/>
      <c r="D1047" s="12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</row>
    <row r="1048">
      <c r="A1048" s="12"/>
      <c r="B1048" s="12"/>
      <c r="C1048" s="12"/>
      <c r="D1048" s="12"/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</row>
    <row r="1049">
      <c r="A1049" s="12"/>
      <c r="B1049" s="12"/>
      <c r="C1049" s="12"/>
      <c r="D1049" s="12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</row>
    <row r="1050">
      <c r="A1050" s="12"/>
      <c r="B1050" s="12"/>
      <c r="C1050" s="12"/>
      <c r="D1050" s="12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</row>
    <row r="1051">
      <c r="A1051" s="12"/>
      <c r="B1051" s="12"/>
      <c r="C1051" s="12"/>
      <c r="D1051" s="12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</row>
    <row r="1052">
      <c r="A1052" s="12"/>
      <c r="B1052" s="12"/>
      <c r="C1052" s="12"/>
      <c r="D1052" s="12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</row>
    <row r="1053">
      <c r="A1053" s="12"/>
      <c r="B1053" s="12"/>
      <c r="C1053" s="12"/>
      <c r="D1053" s="12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</row>
    <row r="1054">
      <c r="A1054" s="12"/>
      <c r="B1054" s="12"/>
      <c r="C1054" s="12"/>
      <c r="D1054" s="12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</row>
    <row r="1055">
      <c r="A1055" s="12"/>
      <c r="B1055" s="12"/>
      <c r="C1055" s="12"/>
      <c r="D1055" s="12"/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</row>
    <row r="1056">
      <c r="A1056" s="12"/>
      <c r="B1056" s="12"/>
      <c r="C1056" s="12"/>
      <c r="D1056" s="12"/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</row>
    <row r="1057">
      <c r="A1057" s="12"/>
      <c r="B1057" s="12"/>
      <c r="C1057" s="12"/>
      <c r="D1057" s="12"/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</row>
    <row r="1058">
      <c r="A1058" s="12"/>
      <c r="B1058" s="12"/>
      <c r="C1058" s="12"/>
      <c r="D1058" s="12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</row>
    <row r="1059">
      <c r="A1059" s="12"/>
      <c r="B1059" s="12"/>
      <c r="C1059" s="12"/>
      <c r="D1059" s="12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</row>
    <row r="1060">
      <c r="A1060" s="12"/>
      <c r="B1060" s="12"/>
      <c r="C1060" s="12"/>
      <c r="D1060" s="12"/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</row>
    <row r="1061">
      <c r="A1061" s="12"/>
      <c r="B1061" s="12"/>
      <c r="C1061" s="12"/>
      <c r="D1061" s="12"/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</row>
    <row r="1062">
      <c r="A1062" s="12"/>
      <c r="B1062" s="12"/>
      <c r="C1062" s="12"/>
      <c r="D1062" s="12"/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</row>
    <row r="1063">
      <c r="A1063" s="12"/>
      <c r="B1063" s="12"/>
      <c r="C1063" s="12"/>
      <c r="D1063" s="12"/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</row>
    <row r="1064">
      <c r="A1064" s="12"/>
      <c r="B1064" s="12"/>
      <c r="C1064" s="12"/>
      <c r="D1064" s="12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</row>
    <row r="1065">
      <c r="A1065" s="12"/>
      <c r="B1065" s="12"/>
      <c r="C1065" s="12"/>
      <c r="D1065" s="12"/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</row>
    <row r="1066">
      <c r="A1066" s="12"/>
      <c r="B1066" s="12"/>
      <c r="C1066" s="12"/>
      <c r="D1066" s="12"/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</row>
    <row r="1067">
      <c r="A1067" s="12"/>
      <c r="B1067" s="12"/>
      <c r="C1067" s="12"/>
      <c r="D1067" s="12"/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</row>
    <row r="1068">
      <c r="A1068" s="12"/>
      <c r="B1068" s="12"/>
      <c r="C1068" s="12"/>
      <c r="D1068" s="12"/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</row>
    <row r="1069">
      <c r="A1069" s="12"/>
      <c r="B1069" s="12"/>
      <c r="C1069" s="12"/>
      <c r="D1069" s="12"/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</row>
  </sheetData>
  <mergeCells count="1">
    <mergeCell ref="N14:O14"/>
  </mergeCells>
  <hyperlinks>
    <hyperlink r:id="rId1" ref="B4"/>
    <hyperlink r:id="rId2" ref="B8"/>
    <hyperlink r:id="rId3" ref="B16"/>
    <hyperlink r:id="rId4" ref="B30"/>
    <hyperlink r:id="rId5" ref="B33"/>
    <hyperlink r:id="rId6" ref="B42"/>
    <hyperlink r:id="rId7" ref="B47"/>
    <hyperlink r:id="rId8" ref="B56"/>
    <hyperlink r:id="rId9" ref="B70"/>
  </hyperlinks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2"/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4" t="s">
        <v>7</v>
      </c>
      <c r="I1" s="2" t="s">
        <v>8</v>
      </c>
      <c r="J1" s="4" t="s">
        <v>9</v>
      </c>
      <c r="K1" s="5" t="s">
        <v>10</v>
      </c>
      <c r="L1" s="3" t="s">
        <v>11</v>
      </c>
      <c r="M1" s="6" t="s">
        <v>12</v>
      </c>
      <c r="N1" s="39" t="s">
        <v>13</v>
      </c>
      <c r="O1" s="40" t="s">
        <v>14</v>
      </c>
      <c r="P1" s="6" t="s">
        <v>15</v>
      </c>
      <c r="Q1" s="41" t="s">
        <v>16</v>
      </c>
      <c r="R1" s="41" t="s">
        <v>17</v>
      </c>
      <c r="S1" s="7" t="s">
        <v>18</v>
      </c>
      <c r="T1" s="9" t="s">
        <v>19</v>
      </c>
      <c r="U1" s="10" t="s">
        <v>20</v>
      </c>
      <c r="V1" s="7" t="s">
        <v>21</v>
      </c>
      <c r="W1" s="7" t="s">
        <v>22</v>
      </c>
      <c r="X1" s="7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</row>
    <row r="2">
      <c r="A2" s="42" t="s">
        <v>323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4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</row>
    <row r="3">
      <c r="A3" s="42" t="s">
        <v>30</v>
      </c>
      <c r="B3" s="43"/>
      <c r="C3" s="43"/>
      <c r="D3" s="45">
        <f>VLOOKUP(VALUE(LEFT(A3, 4)), 'Raw Annual Revenue'!A:D, 4, FALSE) / 4
</f>
        <v>685.5</v>
      </c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  <c r="P3" s="43"/>
      <c r="Q3" s="43"/>
      <c r="R3" s="43"/>
      <c r="S3" s="43"/>
      <c r="T3" s="43"/>
      <c r="U3" s="43"/>
      <c r="V3" s="43"/>
      <c r="W3" s="45">
        <f>VLOOKUP(VALUE(LEFT($A3, 4)), 'Raw Annual Revenue'!$A:W, 22, FALSE) / 4
</f>
        <v>0</v>
      </c>
      <c r="X3" s="45">
        <f>VLOOKUP(VALUE(LEFT($A5, 4)), 'Raw Annual Revenue'!$A:X, 23, FALSE) / 4
</f>
        <v>2321.75</v>
      </c>
      <c r="Y3" s="45"/>
      <c r="Z3" s="45"/>
      <c r="AA3" s="45"/>
      <c r="AB3" s="45"/>
      <c r="AC3" s="45"/>
    </row>
    <row r="4">
      <c r="A4" s="42" t="s">
        <v>31</v>
      </c>
      <c r="B4" s="43"/>
      <c r="C4" s="43"/>
      <c r="D4" s="45">
        <f>VLOOKUP(VALUE(LEFT(A4, 4)), 'Raw Annual Revenue'!A:D, 4, FALSE) / 4
</f>
        <v>685.5</v>
      </c>
      <c r="E4" s="43"/>
      <c r="F4" s="43"/>
      <c r="G4" s="43"/>
      <c r="H4" s="43"/>
      <c r="I4" s="43"/>
      <c r="J4" s="43"/>
      <c r="K4" s="43"/>
      <c r="L4" s="43"/>
      <c r="M4" s="43"/>
      <c r="N4" s="43"/>
      <c r="O4" s="44"/>
      <c r="P4" s="43"/>
      <c r="Q4" s="43"/>
      <c r="R4" s="43"/>
      <c r="S4" s="43"/>
      <c r="T4" s="43"/>
      <c r="U4" s="43"/>
      <c r="V4" s="43"/>
      <c r="W4" s="45">
        <f>VLOOKUP(VALUE(LEFT($A4, 4)), 'Raw Annual Revenue'!$A:W, 22, FALSE) / 4
</f>
        <v>0</v>
      </c>
      <c r="X4" s="45">
        <f>VLOOKUP(VALUE(LEFT($A6, 4)), 'Raw Annual Revenue'!$A:X, 23, FALSE) / 4
</f>
        <v>2321.75</v>
      </c>
      <c r="Y4" s="43"/>
      <c r="Z4" s="43"/>
      <c r="AA4" s="43"/>
      <c r="AB4" s="43"/>
      <c r="AC4" s="43"/>
    </row>
    <row r="5">
      <c r="A5" s="42" t="s">
        <v>32</v>
      </c>
      <c r="B5" s="43"/>
      <c r="C5" s="43"/>
      <c r="D5" s="45">
        <f>VLOOKUP(VALUE(LEFT(A5, 4)), 'Raw Annual Revenue'!A:D, 4, FALSE) / 4
</f>
        <v>685.5</v>
      </c>
      <c r="E5" s="43"/>
      <c r="F5" s="43"/>
      <c r="G5" s="43"/>
      <c r="H5" s="43"/>
      <c r="I5" s="43"/>
      <c r="J5" s="43"/>
      <c r="K5" s="43"/>
      <c r="L5" s="43"/>
      <c r="M5" s="43"/>
      <c r="N5" s="43"/>
      <c r="O5" s="44"/>
      <c r="P5" s="43"/>
      <c r="Q5" s="43"/>
      <c r="R5" s="43"/>
      <c r="S5" s="43"/>
      <c r="T5" s="43"/>
      <c r="U5" s="43"/>
      <c r="V5" s="43"/>
      <c r="W5" s="45">
        <f>VLOOKUP(VALUE(LEFT($A5, 4)), 'Raw Annual Revenue'!$A:W, 22, FALSE) / 4
</f>
        <v>0</v>
      </c>
      <c r="X5" s="45">
        <f>VLOOKUP(VALUE(LEFT($A7, 4)), 'Raw Annual Revenue'!$A:X, 23, FALSE) / 4
</f>
        <v>5309.5</v>
      </c>
      <c r="Y5" s="43"/>
      <c r="Z5" s="43"/>
      <c r="AA5" s="43"/>
      <c r="AB5" s="43"/>
      <c r="AC5" s="43"/>
    </row>
    <row r="6">
      <c r="A6" s="42" t="s">
        <v>33</v>
      </c>
      <c r="B6" s="43"/>
      <c r="C6" s="43"/>
      <c r="D6" s="45">
        <f>VLOOKUP(VALUE(LEFT(A6, 4)), 'Raw Annual Revenue'!A:D, 4, FALSE) / 4
</f>
        <v>685.5</v>
      </c>
      <c r="E6" s="43"/>
      <c r="F6" s="43"/>
      <c r="G6" s="43"/>
      <c r="H6" s="43"/>
      <c r="I6" s="43"/>
      <c r="J6" s="43"/>
      <c r="K6" s="43"/>
      <c r="L6" s="43"/>
      <c r="M6" s="43"/>
      <c r="N6" s="43"/>
      <c r="O6" s="44"/>
      <c r="P6" s="43"/>
      <c r="Q6" s="43"/>
      <c r="R6" s="43"/>
      <c r="S6" s="43"/>
      <c r="T6" s="43"/>
      <c r="U6" s="43"/>
      <c r="V6" s="43"/>
      <c r="W6" s="45">
        <f>VLOOKUP(VALUE(LEFT($A6, 4)), 'Raw Annual Revenue'!$A:W, 22, FALSE) / 4
</f>
        <v>0</v>
      </c>
      <c r="X6" s="45">
        <f>VLOOKUP(VALUE(LEFT($A8, 4)), 'Raw Annual Revenue'!$A:X, 23, FALSE) / 4
</f>
        <v>5309.5</v>
      </c>
      <c r="Y6" s="43"/>
      <c r="Z6" s="43"/>
      <c r="AA6" s="43"/>
      <c r="AB6" s="43"/>
      <c r="AC6" s="43"/>
    </row>
    <row r="7">
      <c r="A7" s="42" t="s">
        <v>34</v>
      </c>
      <c r="B7" s="43"/>
      <c r="C7" s="45">
        <f>VLOOKUP(VALUE(LEFT(A7, 4)), 'Raw Annual Revenue'!A:C, 3, FALSE) / 4
</f>
        <v>8809.25</v>
      </c>
      <c r="D7" s="45">
        <f>VLOOKUP(VALUE(LEFT(A7, 4)), 'Raw Annual Revenue'!A:D, 4, FALSE) / 4
</f>
        <v>3456.75</v>
      </c>
      <c r="E7" s="43"/>
      <c r="F7" s="43"/>
      <c r="G7" s="43"/>
      <c r="H7" s="43"/>
      <c r="I7" s="43"/>
      <c r="J7" s="43"/>
      <c r="K7" s="43"/>
      <c r="L7" s="43"/>
      <c r="M7" s="43"/>
      <c r="N7" s="43"/>
      <c r="O7" s="44"/>
      <c r="P7" s="43"/>
      <c r="Q7" s="43"/>
      <c r="R7" s="43"/>
      <c r="S7" s="43"/>
      <c r="T7" s="43"/>
      <c r="U7" s="43"/>
      <c r="V7" s="43"/>
      <c r="W7" s="45">
        <f>VLOOKUP(VALUE(LEFT($A7, 4)), 'Raw Annual Revenue'!$A:W, 22, FALSE) / 4
</f>
        <v>0</v>
      </c>
      <c r="X7" s="45">
        <f>VLOOKUP(VALUE(LEFT($A9, 4)), 'Raw Annual Revenue'!$A:X, 23, FALSE) / 4
</f>
        <v>5309.5</v>
      </c>
      <c r="Y7" s="43"/>
      <c r="Z7" s="43"/>
      <c r="AA7" s="43"/>
      <c r="AB7" s="43"/>
      <c r="AC7" s="43"/>
    </row>
    <row r="8">
      <c r="A8" s="42" t="s">
        <v>35</v>
      </c>
      <c r="B8" s="43"/>
      <c r="C8" s="45">
        <f>VLOOKUP(VALUE(LEFT(A8, 4)), 'Raw Annual Revenue'!A:C, 3, FALSE) / 4
</f>
        <v>8809.25</v>
      </c>
      <c r="D8" s="45">
        <f>VLOOKUP(VALUE(LEFT(A8, 4)), 'Raw Annual Revenue'!A:D, 4, FALSE) / 4
</f>
        <v>3456.75</v>
      </c>
      <c r="E8" s="43"/>
      <c r="F8" s="43"/>
      <c r="G8" s="43"/>
      <c r="H8" s="43"/>
      <c r="I8" s="43"/>
      <c r="J8" s="43"/>
      <c r="K8" s="43"/>
      <c r="L8" s="43"/>
      <c r="M8" s="43"/>
      <c r="N8" s="43"/>
      <c r="O8" s="44"/>
      <c r="P8" s="43"/>
      <c r="Q8" s="43"/>
      <c r="R8" s="43"/>
      <c r="S8" s="43"/>
      <c r="T8" s="43"/>
      <c r="U8" s="43"/>
      <c r="V8" s="43"/>
      <c r="W8" s="45">
        <f>VLOOKUP(VALUE(LEFT($A8, 4)), 'Raw Annual Revenue'!$A:W, 22, FALSE) / 4
</f>
        <v>0</v>
      </c>
      <c r="X8" s="45">
        <f>VLOOKUP(VALUE(LEFT($A10, 4)), 'Raw Annual Revenue'!$A:X, 23, FALSE) / 4
</f>
        <v>5309.5</v>
      </c>
      <c r="Y8" s="43"/>
      <c r="Z8" s="43"/>
      <c r="AA8" s="43"/>
      <c r="AB8" s="43"/>
      <c r="AC8" s="43"/>
    </row>
    <row r="9">
      <c r="A9" s="42" t="s">
        <v>36</v>
      </c>
      <c r="B9" s="43"/>
      <c r="C9" s="45">
        <f>VLOOKUP(VALUE(LEFT(A9, 4)), 'Raw Annual Revenue'!A:C, 3, FALSE) / 4
</f>
        <v>8809.25</v>
      </c>
      <c r="D9" s="45">
        <f>VLOOKUP(VALUE(LEFT(A9, 4)), 'Raw Annual Revenue'!A:D, 4, FALSE) / 4
</f>
        <v>3456.75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4"/>
      <c r="P9" s="43"/>
      <c r="Q9" s="43"/>
      <c r="R9" s="43"/>
      <c r="S9" s="43"/>
      <c r="T9" s="43"/>
      <c r="U9" s="43"/>
      <c r="V9" s="43"/>
      <c r="W9" s="45">
        <f>VLOOKUP(VALUE(LEFT($A9, 4)), 'Raw Annual Revenue'!$A:W, 22, FALSE) / 4
</f>
        <v>0</v>
      </c>
      <c r="X9" s="45">
        <f>VLOOKUP(VALUE(LEFT($A11, 4)), 'Raw Annual Revenue'!$A:X, 23, FALSE) / 4
</f>
        <v>16046.75</v>
      </c>
      <c r="Y9" s="43"/>
      <c r="Z9" s="43"/>
      <c r="AA9" s="43"/>
      <c r="AB9" s="43"/>
      <c r="AC9" s="43"/>
    </row>
    <row r="10">
      <c r="A10" s="42" t="s">
        <v>37</v>
      </c>
      <c r="B10" s="43"/>
      <c r="C10" s="45">
        <f>VLOOKUP(VALUE(LEFT(A10, 4)), 'Raw Annual Revenue'!A:C, 3, FALSE) / 4
</f>
        <v>8809.25</v>
      </c>
      <c r="D10" s="45">
        <f>VLOOKUP(VALUE(LEFT(A10, 4)), 'Raw Annual Revenue'!A:D, 4, FALSE) / 4
</f>
        <v>3456.75</v>
      </c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4"/>
      <c r="P10" s="43"/>
      <c r="Q10" s="43"/>
      <c r="R10" s="43"/>
      <c r="S10" s="43"/>
      <c r="T10" s="43"/>
      <c r="U10" s="43"/>
      <c r="V10" s="43"/>
      <c r="W10" s="45">
        <f>VLOOKUP(VALUE(LEFT($A10, 4)), 'Raw Annual Revenue'!$A:W, 22, FALSE) / 4
</f>
        <v>0</v>
      </c>
      <c r="X10" s="45">
        <f>VLOOKUP(VALUE(LEFT($A12, 4)), 'Raw Annual Revenue'!$A:X, 23, FALSE) / 4
</f>
        <v>16046.75</v>
      </c>
      <c r="Y10" s="43"/>
      <c r="Z10" s="43"/>
      <c r="AA10" s="43"/>
      <c r="AB10" s="43"/>
      <c r="AC10" s="43"/>
    </row>
    <row r="11">
      <c r="A11" s="42" t="s">
        <v>38</v>
      </c>
      <c r="B11" s="43"/>
      <c r="C11" s="46">
        <f>VLOOKUP(VALUE(LEFT(A11, 4)), 'Raw Annual Revenue'!A:C, 3, FALSE) / 4
</f>
        <v>120602.5</v>
      </c>
      <c r="D11" s="46">
        <f>VLOOKUP(VALUE(LEFT(A11, 4)), 'Raw Annual Revenue'!A:D, 4, FALSE) / 4
</f>
        <v>9674.75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4"/>
      <c r="P11" s="43"/>
      <c r="Q11" s="43"/>
      <c r="R11" s="43"/>
      <c r="S11" s="45">
        <f>VLOOKUP(VALUE(LEFT($A11, 4)), 'Raw Annual Revenue'!$A:S, 18, FALSE) / 4</f>
        <v>0</v>
      </c>
      <c r="T11" s="43"/>
      <c r="U11" s="43"/>
      <c r="V11" s="43"/>
      <c r="W11" s="45">
        <f>VLOOKUP(VALUE(LEFT($A11, 4)), 'Raw Annual Revenue'!$A:W, 22, FALSE) / 4
</f>
        <v>0</v>
      </c>
      <c r="X11" s="45">
        <f>VLOOKUP(VALUE(LEFT($A13, 4)), 'Raw Annual Revenue'!$A:X, 23, FALSE) / 4
</f>
        <v>16046.75</v>
      </c>
      <c r="Y11" s="43"/>
      <c r="Z11" s="43"/>
      <c r="AA11" s="43"/>
      <c r="AB11" s="43"/>
      <c r="AC11" s="43"/>
    </row>
    <row r="12">
      <c r="A12" s="42" t="s">
        <v>39</v>
      </c>
      <c r="B12" s="43"/>
      <c r="C12" s="46">
        <f>VLOOKUP(VALUE(LEFT(A12, 4)), 'Raw Annual Revenue'!A:C, 3, FALSE) / 4
</f>
        <v>120602.5</v>
      </c>
      <c r="D12" s="46">
        <f>VLOOKUP(VALUE(LEFT(A12, 4)), 'Raw Annual Revenue'!A:D, 4, FALSE) / 4
</f>
        <v>9674.75</v>
      </c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4"/>
      <c r="P12" s="43"/>
      <c r="Q12" s="43"/>
      <c r="R12" s="43"/>
      <c r="S12" s="45">
        <f>VLOOKUP(VALUE(LEFT($A12, 4)), 'Raw Annual Revenue'!$A:S, 18, FALSE) / 4</f>
        <v>0</v>
      </c>
      <c r="T12" s="43"/>
      <c r="U12" s="43"/>
      <c r="V12" s="43"/>
      <c r="W12" s="45">
        <f>VLOOKUP(VALUE(LEFT($A12, 4)), 'Raw Annual Revenue'!$A:W, 22, FALSE) / 4
</f>
        <v>0</v>
      </c>
      <c r="X12" s="45">
        <f>VLOOKUP(VALUE(LEFT($A14, 4)), 'Raw Annual Revenue'!$A:X, 23, FALSE) / 4
</f>
        <v>16046.75</v>
      </c>
      <c r="Y12" s="43"/>
      <c r="Z12" s="43"/>
      <c r="AA12" s="43"/>
      <c r="AB12" s="43"/>
      <c r="AC12" s="43"/>
    </row>
    <row r="13">
      <c r="A13" s="42" t="s">
        <v>40</v>
      </c>
      <c r="B13" s="43"/>
      <c r="C13" s="46">
        <f>VLOOKUP(VALUE(LEFT(A13, 4)), 'Raw Annual Revenue'!A:C, 3, FALSE) / 4
</f>
        <v>120602.5</v>
      </c>
      <c r="D13" s="46">
        <f>VLOOKUP(VALUE(LEFT(A13, 4)), 'Raw Annual Revenue'!A:D, 4, FALSE) / 4
</f>
        <v>9674.75</v>
      </c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4"/>
      <c r="P13" s="43"/>
      <c r="Q13" s="43"/>
      <c r="R13" s="43"/>
      <c r="S13" s="45">
        <f>VLOOKUP(VALUE(LEFT($A13, 4)), 'Raw Annual Revenue'!$A:S, 18, FALSE) / 4</f>
        <v>0</v>
      </c>
      <c r="T13" s="43"/>
      <c r="U13" s="43"/>
      <c r="V13" s="43"/>
      <c r="W13" s="45">
        <f>VLOOKUP(VALUE(LEFT($A13, 4)), 'Raw Annual Revenue'!$A:W, 22, FALSE) / 4
</f>
        <v>0</v>
      </c>
      <c r="X13" s="45">
        <f>VLOOKUP(VALUE(LEFT($A15, 4)), 'Raw Annual Revenue'!$A:X, 23, FALSE) / 4
</f>
        <v>48167.5</v>
      </c>
      <c r="Y13" s="43"/>
      <c r="Z13" s="43"/>
      <c r="AA13" s="43"/>
      <c r="AB13" s="43"/>
      <c r="AC13" s="43"/>
    </row>
    <row r="14">
      <c r="A14" s="42" t="s">
        <v>41</v>
      </c>
      <c r="B14" s="43"/>
      <c r="C14" s="46">
        <f>VLOOKUP(VALUE(LEFT(A14, 4)), 'Raw Annual Revenue'!A:C, 3, FALSE) / 4
</f>
        <v>120602.5</v>
      </c>
      <c r="D14" s="46">
        <f>VLOOKUP(VALUE(LEFT(A14, 4)), 'Raw Annual Revenue'!A:D, 4, FALSE) / 4
</f>
        <v>9674.75</v>
      </c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4"/>
      <c r="P14" s="43"/>
      <c r="Q14" s="43"/>
      <c r="R14" s="43"/>
      <c r="S14" s="45">
        <f>VLOOKUP(VALUE(LEFT($A14, 4)), 'Raw Annual Revenue'!$A:S, 18, FALSE) / 4</f>
        <v>0</v>
      </c>
      <c r="T14" s="43"/>
      <c r="U14" s="43"/>
      <c r="V14" s="43"/>
      <c r="W14" s="45">
        <f>VLOOKUP(VALUE(LEFT($A14, 4)), 'Raw Annual Revenue'!$A:W, 22, FALSE) / 4
</f>
        <v>0</v>
      </c>
      <c r="X14" s="45">
        <f>VLOOKUP(VALUE(LEFT($A16, 4)), 'Raw Annual Revenue'!$A:X, 23, FALSE) / 4
</f>
        <v>48167.5</v>
      </c>
      <c r="Y14" s="43"/>
      <c r="Z14" s="43"/>
      <c r="AA14" s="43"/>
      <c r="AB14" s="43"/>
      <c r="AC14" s="43"/>
    </row>
    <row r="15">
      <c r="A15" s="42" t="s">
        <v>42</v>
      </c>
      <c r="B15" s="43"/>
      <c r="C15" s="46">
        <f>VLOOKUP(VALUE(LEFT(A15, 4)), 'Raw Annual Revenue'!A:C, 3, FALSE) / 4
</f>
        <v>308849</v>
      </c>
      <c r="D15" s="46">
        <f>VLOOKUP(VALUE(LEFT(A15, 4)), 'Raw Annual Revenue'!A:D, 4, FALSE) / 4
</f>
        <v>23657.75</v>
      </c>
      <c r="E15" s="45">
        <f>VLOOKUP(VALUE(LEFT(A15, 4)), 'Raw Annual Revenue'!A:E, 5, FALSE) / 4
</f>
        <v>195</v>
      </c>
      <c r="F15" s="43"/>
      <c r="G15" s="43"/>
      <c r="H15" s="43"/>
      <c r="I15" s="43"/>
      <c r="J15" s="43"/>
      <c r="K15" s="43"/>
      <c r="L15" s="43"/>
      <c r="M15" s="43"/>
      <c r="N15" s="43"/>
      <c r="O15" s="44"/>
      <c r="P15" s="43"/>
      <c r="Q15" s="43"/>
      <c r="R15" s="43"/>
      <c r="S15" s="45">
        <f>VLOOKUP(VALUE(LEFT($A15, 4)), 'Raw Annual Revenue'!$A:S, 18, FALSE) / 4</f>
        <v>0</v>
      </c>
      <c r="T15" s="43"/>
      <c r="U15" s="43"/>
      <c r="V15" s="43"/>
      <c r="W15" s="45">
        <f>VLOOKUP(VALUE(LEFT($A15, 4)), 'Raw Annual Revenue'!$A:W, 22, FALSE) / 4
</f>
        <v>0</v>
      </c>
      <c r="X15" s="45">
        <f>VLOOKUP(VALUE(LEFT($A17, 4)), 'Raw Annual Revenue'!$A:X, 23, FALSE) / 4
</f>
        <v>48167.5</v>
      </c>
      <c r="Y15" s="43"/>
      <c r="Z15" s="43"/>
      <c r="AA15" s="43"/>
      <c r="AB15" s="43"/>
      <c r="AC15" s="43"/>
    </row>
    <row r="16">
      <c r="A16" s="42" t="s">
        <v>43</v>
      </c>
      <c r="B16" s="43"/>
      <c r="C16" s="46">
        <f>VLOOKUP(VALUE(LEFT(A16, 4)), 'Raw Annual Revenue'!A:C, 3, FALSE) / 4
</f>
        <v>308849</v>
      </c>
      <c r="D16" s="46">
        <f>VLOOKUP(VALUE(LEFT(A16, 4)), 'Raw Annual Revenue'!A:D, 4, FALSE) / 4
</f>
        <v>23657.75</v>
      </c>
      <c r="E16" s="45">
        <f>VLOOKUP(VALUE(LEFT(A16, 4)), 'Raw Annual Revenue'!A:E, 5, FALSE) / 4
</f>
        <v>195</v>
      </c>
      <c r="F16" s="43"/>
      <c r="G16" s="43"/>
      <c r="H16" s="43"/>
      <c r="I16" s="43"/>
      <c r="J16" s="43"/>
      <c r="K16" s="43"/>
      <c r="L16" s="43"/>
      <c r="M16" s="43"/>
      <c r="N16" s="43"/>
      <c r="O16" s="44"/>
      <c r="P16" s="43"/>
      <c r="Q16" s="43"/>
      <c r="R16" s="43"/>
      <c r="S16" s="45">
        <f>VLOOKUP(VALUE(LEFT($A16, 4)), 'Raw Annual Revenue'!$A:S, 18, FALSE) / 4</f>
        <v>0</v>
      </c>
      <c r="T16" s="43"/>
      <c r="U16" s="43"/>
      <c r="V16" s="43"/>
      <c r="W16" s="45">
        <f>VLOOKUP(VALUE(LEFT($A16, 4)), 'Raw Annual Revenue'!$A:W, 22, FALSE) / 4
</f>
        <v>0</v>
      </c>
      <c r="X16" s="45">
        <f>VLOOKUP(VALUE(LEFT($A18, 4)), 'Raw Annual Revenue'!$A:X, 23, FALSE) / 4
</f>
        <v>48167.5</v>
      </c>
      <c r="Y16" s="43"/>
      <c r="Z16" s="43"/>
      <c r="AA16" s="43"/>
      <c r="AB16" s="43"/>
      <c r="AC16" s="43"/>
    </row>
    <row r="17">
      <c r="A17" s="42" t="s">
        <v>44</v>
      </c>
      <c r="B17" s="43"/>
      <c r="C17" s="46">
        <f>VLOOKUP(VALUE(LEFT(A17, 4)), 'Raw Annual Revenue'!A:C, 3, FALSE) / 4
</f>
        <v>308849</v>
      </c>
      <c r="D17" s="46">
        <f>VLOOKUP(VALUE(LEFT(A17, 4)), 'Raw Annual Revenue'!A:D, 4, FALSE) / 4
</f>
        <v>23657.75</v>
      </c>
      <c r="E17" s="45">
        <f>VLOOKUP(VALUE(LEFT(A17, 4)), 'Raw Annual Revenue'!A:E, 5, FALSE) / 4
</f>
        <v>195</v>
      </c>
      <c r="F17" s="43"/>
      <c r="G17" s="43"/>
      <c r="H17" s="43"/>
      <c r="I17" s="43"/>
      <c r="J17" s="43"/>
      <c r="K17" s="43"/>
      <c r="L17" s="43"/>
      <c r="M17" s="43"/>
      <c r="N17" s="43"/>
      <c r="O17" s="47"/>
      <c r="P17" s="43"/>
      <c r="Q17" s="43"/>
      <c r="R17" s="43"/>
      <c r="S17" s="45">
        <f>VLOOKUP(VALUE(LEFT($A17, 4)), 'Raw Annual Revenue'!$A:S, 18, FALSE) / 4</f>
        <v>0</v>
      </c>
      <c r="T17" s="43"/>
      <c r="U17" s="43"/>
      <c r="V17" s="45"/>
      <c r="W17" s="45">
        <f>VLOOKUP(VALUE(LEFT($A17, 4)), 'Raw Annual Revenue'!$A:W, 22, FALSE) / 4
</f>
        <v>0</v>
      </c>
      <c r="X17" s="45">
        <f>VLOOKUP(VALUE(LEFT($A19, 4)), 'Raw Annual Revenue'!$A:X, 23, FALSE) / 4
</f>
        <v>75442.5</v>
      </c>
      <c r="Y17" s="43"/>
      <c r="Z17" s="43"/>
      <c r="AA17" s="43"/>
      <c r="AB17" s="43"/>
      <c r="AC17" s="43"/>
    </row>
    <row r="18">
      <c r="A18" s="42" t="s">
        <v>45</v>
      </c>
      <c r="B18" s="43"/>
      <c r="C18" s="46">
        <f>VLOOKUP(VALUE(LEFT(A18, 4)), 'Raw Annual Revenue'!A:C, 3, FALSE) / 4
</f>
        <v>308849</v>
      </c>
      <c r="D18" s="46">
        <f>VLOOKUP(VALUE(LEFT(A18, 4)), 'Raw Annual Revenue'!A:D, 4, FALSE) / 4
</f>
        <v>23657.75</v>
      </c>
      <c r="E18" s="45">
        <f>VLOOKUP(VALUE(LEFT(A18, 4)), 'Raw Annual Revenue'!A:E, 5, FALSE) / 4
</f>
        <v>195</v>
      </c>
      <c r="F18" s="43"/>
      <c r="G18" s="43"/>
      <c r="H18" s="43"/>
      <c r="I18" s="43"/>
      <c r="J18" s="43"/>
      <c r="K18" s="43"/>
      <c r="L18" s="43"/>
      <c r="M18" s="43"/>
      <c r="N18" s="43"/>
      <c r="O18" s="47"/>
      <c r="P18" s="43"/>
      <c r="Q18" s="43"/>
      <c r="R18" s="43"/>
      <c r="S18" s="45">
        <f>VLOOKUP(VALUE(LEFT($A18, 4)), 'Raw Annual Revenue'!$A:S, 18, FALSE) / 4</f>
        <v>0</v>
      </c>
      <c r="T18" s="43"/>
      <c r="U18" s="43"/>
      <c r="V18" s="45"/>
      <c r="W18" s="45">
        <f>VLOOKUP(VALUE(LEFT($A18, 4)), 'Raw Annual Revenue'!$A:W, 22, FALSE) / 4
</f>
        <v>0</v>
      </c>
      <c r="X18" s="45">
        <f>VLOOKUP(VALUE(LEFT($A20, 4)), 'Raw Annual Revenue'!$A:X, 23, FALSE) / 4
</f>
        <v>75442.5</v>
      </c>
      <c r="Y18" s="43"/>
      <c r="Z18" s="43"/>
      <c r="AA18" s="43"/>
      <c r="AB18" s="43"/>
      <c r="AC18" s="43"/>
    </row>
    <row r="19">
      <c r="A19" s="42" t="s">
        <v>46</v>
      </c>
      <c r="B19" s="43"/>
      <c r="C19" s="46">
        <f>VLOOKUP(VALUE(LEFT(A19, 4)), 'Raw Annual Revenue'!A:C, 3, FALSE) / 4
</f>
        <v>292938.25</v>
      </c>
      <c r="D19" s="46">
        <f>VLOOKUP(VALUE(LEFT(A19, 4)), 'Raw Annual Revenue'!A:D, 4, FALSE) / 4
</f>
        <v>55555</v>
      </c>
      <c r="E19" s="46">
        <f>VLOOKUP(VALUE(LEFT(A19, 4)), 'Raw Annual Revenue'!A:E, 5, FALSE) / 4
</f>
        <v>1328.5</v>
      </c>
      <c r="F19" s="46"/>
      <c r="G19" s="46"/>
      <c r="H19" s="46"/>
      <c r="I19" s="46"/>
      <c r="J19" s="46"/>
      <c r="K19" s="46"/>
      <c r="L19" s="46"/>
      <c r="M19" s="46"/>
      <c r="N19" s="46"/>
      <c r="O19" s="48">
        <f>VLOOKUP(VALUE(LEFT(A19, 4)), 'Raw Annual Revenue'!A:O, 15, FALSE) / 4
</f>
        <v>34.75</v>
      </c>
      <c r="P19" s="43"/>
      <c r="Q19" s="43"/>
      <c r="R19" s="43"/>
      <c r="S19" s="45">
        <f>VLOOKUP(VALUE(LEFT($A19, 4)), 'Raw Annual Revenue'!$A:S, 18, FALSE) / 4</f>
        <v>0</v>
      </c>
      <c r="T19" s="43"/>
      <c r="U19" s="43"/>
      <c r="V19" s="45">
        <f>VLOOKUP(VALUE(LEFT($A19, 4)), 'Raw Annual Revenue'!$A:V, 21, FALSE) / 4
</f>
        <v>0</v>
      </c>
      <c r="W19" s="45">
        <f>VLOOKUP(VALUE(LEFT($A19, 4)), 'Raw Annual Revenue'!$A:W, 22, FALSE) / 4
</f>
        <v>10850.75</v>
      </c>
      <c r="X19" s="45">
        <f>VLOOKUP(VALUE(LEFT($A21, 4)), 'Raw Annual Revenue'!$A:X, 23, FALSE) / 4
</f>
        <v>75442.5</v>
      </c>
      <c r="Y19" s="43"/>
      <c r="Z19" s="43"/>
      <c r="AA19" s="43"/>
      <c r="AB19" s="43"/>
      <c r="AC19" s="43"/>
    </row>
    <row r="20">
      <c r="A20" s="42" t="s">
        <v>47</v>
      </c>
      <c r="B20" s="43"/>
      <c r="C20" s="46">
        <f>VLOOKUP(VALUE(LEFT(A20, 4)), 'Raw Annual Revenue'!A:C, 3, FALSE) / 4
</f>
        <v>292938.25</v>
      </c>
      <c r="D20" s="46">
        <f>VLOOKUP(VALUE(LEFT(A20, 4)), 'Raw Annual Revenue'!A:D, 4, FALSE) / 4
</f>
        <v>55555</v>
      </c>
      <c r="E20" s="46">
        <f>VLOOKUP(VALUE(LEFT(A20, 4)), 'Raw Annual Revenue'!A:E, 5, FALSE) / 4
</f>
        <v>1328.5</v>
      </c>
      <c r="F20" s="43"/>
      <c r="G20" s="43"/>
      <c r="H20" s="43"/>
      <c r="I20" s="43"/>
      <c r="J20" s="43"/>
      <c r="K20" s="43"/>
      <c r="L20" s="43"/>
      <c r="M20" s="43"/>
      <c r="N20" s="43"/>
      <c r="O20" s="48">
        <f>VLOOKUP(VALUE(LEFT(A20, 4)), 'Raw Annual Revenue'!A:O, 15, FALSE) / 4
</f>
        <v>34.75</v>
      </c>
      <c r="P20" s="43"/>
      <c r="Q20" s="43"/>
      <c r="R20" s="43"/>
      <c r="S20" s="45">
        <f>VLOOKUP(VALUE(LEFT($A20, 4)), 'Raw Annual Revenue'!$A:S, 18, FALSE) / 4</f>
        <v>0</v>
      </c>
      <c r="T20" s="43"/>
      <c r="U20" s="43"/>
      <c r="V20" s="45">
        <f>VLOOKUP(VALUE(LEFT($A20, 4)), 'Raw Annual Revenue'!$A:V, 21, FALSE) / 4
</f>
        <v>0</v>
      </c>
      <c r="W20" s="45">
        <f>VLOOKUP(VALUE(LEFT($A20, 4)), 'Raw Annual Revenue'!$A:W, 22, FALSE) / 4
</f>
        <v>10850.75</v>
      </c>
      <c r="X20" s="45">
        <f>VLOOKUP(VALUE(LEFT($A22, 4)), 'Raw Annual Revenue'!$A:X, 23, FALSE) / 4
</f>
        <v>75442.5</v>
      </c>
      <c r="Y20" s="43"/>
      <c r="Z20" s="43"/>
      <c r="AA20" s="43"/>
      <c r="AB20" s="43"/>
      <c r="AC20" s="43"/>
    </row>
    <row r="21">
      <c r="A21" s="42" t="s">
        <v>48</v>
      </c>
      <c r="B21" s="43"/>
      <c r="C21" s="46">
        <f>VLOOKUP(VALUE(LEFT(A21, 4)), 'Raw Annual Revenue'!A:C, 3, FALSE) / 4
</f>
        <v>292938.25</v>
      </c>
      <c r="D21" s="46">
        <f>VLOOKUP(VALUE(LEFT(A21, 4)), 'Raw Annual Revenue'!A:D, 4, FALSE) / 4
</f>
        <v>55555</v>
      </c>
      <c r="E21" s="46">
        <f>VLOOKUP(VALUE(LEFT(A21, 4)), 'Raw Annual Revenue'!A:E, 5, FALSE) / 4
</f>
        <v>1328.5</v>
      </c>
      <c r="F21" s="43"/>
      <c r="G21" s="43"/>
      <c r="H21" s="43"/>
      <c r="I21" s="43"/>
      <c r="J21" s="43"/>
      <c r="K21" s="43"/>
      <c r="L21" s="43"/>
      <c r="M21" s="43"/>
      <c r="N21" s="43"/>
      <c r="O21" s="47">
        <f>VLOOKUP(VALUE(LEFT(A23, 4)), 'Raw Annual Revenue'!A:O, 15, FALSE) / 4
</f>
        <v>132.875</v>
      </c>
      <c r="P21" s="43"/>
      <c r="Q21" s="43"/>
      <c r="R21" s="43"/>
      <c r="S21" s="45">
        <f>VLOOKUP(VALUE(LEFT($A21, 4)), 'Raw Annual Revenue'!$A:S, 18, FALSE) / 4</f>
        <v>0</v>
      </c>
      <c r="T21" s="43"/>
      <c r="U21" s="43"/>
      <c r="V21" s="45">
        <f>VLOOKUP(VALUE(LEFT($A21, 4)), 'Raw Annual Revenue'!$A:V, 21, FALSE) / 4
</f>
        <v>0</v>
      </c>
      <c r="W21" s="45">
        <f>VLOOKUP(VALUE(LEFT($A21, 4)), 'Raw Annual Revenue'!$A:W, 22, FALSE) / 4
</f>
        <v>10850.75</v>
      </c>
      <c r="X21" s="45">
        <f>VLOOKUP(VALUE(LEFT($A23, 4)), 'Raw Annual Revenue'!$A:X, 23, FALSE) / 4
</f>
        <v>0</v>
      </c>
      <c r="Y21" s="43"/>
      <c r="Z21" s="43"/>
      <c r="AA21" s="43"/>
      <c r="AB21" s="43"/>
      <c r="AC21" s="43"/>
    </row>
    <row r="22">
      <c r="A22" s="42" t="s">
        <v>49</v>
      </c>
      <c r="B22" s="43"/>
      <c r="C22" s="46">
        <f>VLOOKUP(VALUE(LEFT(A22, 4)), 'Raw Annual Revenue'!A:C, 3, FALSE) / 4
</f>
        <v>292938.25</v>
      </c>
      <c r="D22" s="46">
        <f>VLOOKUP(VALUE(LEFT(A22, 4)), 'Raw Annual Revenue'!A:D, 4, FALSE) / 4
</f>
        <v>55555</v>
      </c>
      <c r="E22" s="46">
        <f>VLOOKUP(VALUE(LEFT(A22, 4)), 'Raw Annual Revenue'!A:E, 5, FALSE) / 4
</f>
        <v>1328.5</v>
      </c>
      <c r="F22" s="43"/>
      <c r="G22" s="43"/>
      <c r="H22" s="43"/>
      <c r="I22" s="43"/>
      <c r="J22" s="43"/>
      <c r="K22" s="43"/>
      <c r="L22" s="43"/>
      <c r="M22" s="43"/>
      <c r="N22" s="43"/>
      <c r="O22" s="47">
        <f>VLOOKUP(VALUE(LEFT(A24, 4)), 'Raw Annual Revenue'!A:O, 15, FALSE) / 4
</f>
        <v>132.875</v>
      </c>
      <c r="P22" s="43"/>
      <c r="Q22" s="43"/>
      <c r="R22" s="43"/>
      <c r="S22" s="45">
        <f>VLOOKUP(VALUE(LEFT($A22, 4)), 'Raw Annual Revenue'!$A:S, 18, FALSE) / 4</f>
        <v>0</v>
      </c>
      <c r="T22" s="43"/>
      <c r="U22" s="43"/>
      <c r="V22" s="45">
        <f>VLOOKUP(VALUE(LEFT($A22, 4)), 'Raw Annual Revenue'!$A:V, 21, FALSE) / 4
</f>
        <v>0</v>
      </c>
      <c r="W22" s="45">
        <f>VLOOKUP(VALUE(LEFT($A22, 4)), 'Raw Annual Revenue'!$A:W, 22, FALSE) / 4
</f>
        <v>10850.75</v>
      </c>
      <c r="X22" s="45">
        <f>VLOOKUP(VALUE(LEFT($A24, 4)), 'Raw Annual Revenue'!$A:X, 23, FALSE) / 4
</f>
        <v>0</v>
      </c>
      <c r="Y22" s="43"/>
      <c r="Z22" s="43"/>
      <c r="AA22" s="43"/>
      <c r="AB22" s="43"/>
      <c r="AC22" s="43"/>
    </row>
    <row r="23">
      <c r="A23" s="42" t="s">
        <v>50</v>
      </c>
      <c r="B23" s="43"/>
      <c r="C23" s="46">
        <f>VLOOKUP(VALUE(LEFT(A23, 4)), 'Raw Annual Revenue'!A:C, 3, FALSE) / 4
</f>
        <v>250901.5</v>
      </c>
      <c r="D23" s="46">
        <f>VLOOKUP(VALUE(LEFT(A23, 4)), 'Raw Annual Revenue'!A:D, 4, FALSE) / 4
</f>
        <v>374768.75</v>
      </c>
      <c r="E23" s="46">
        <f>VLOOKUP(VALUE(LEFT(A23, 4)), 'Raw Annual Revenue'!A:E, 5, FALSE) / 4
</f>
        <v>3052.5</v>
      </c>
      <c r="F23" s="43"/>
      <c r="G23" s="43"/>
      <c r="H23" s="43"/>
      <c r="I23" s="43"/>
      <c r="J23" s="43"/>
      <c r="K23" s="43"/>
      <c r="L23" s="43"/>
      <c r="M23" s="43"/>
      <c r="N23" s="43"/>
      <c r="O23" s="47">
        <f>VLOOKUP(VALUE(LEFT(A25, 4)), 'Raw Annual Revenue'!A:O, 15, FALSE) / 4
</f>
        <v>132.875</v>
      </c>
      <c r="P23" s="43"/>
      <c r="Q23" s="43"/>
      <c r="R23" s="43"/>
      <c r="S23" s="45">
        <f>VLOOKUP(VALUE(LEFT($A23, 4)), 'Raw Annual Revenue'!$A:S, 18, FALSE) / 4</f>
        <v>0</v>
      </c>
      <c r="T23" s="43"/>
      <c r="U23" s="43"/>
      <c r="V23" s="45">
        <f>VLOOKUP(VALUE(LEFT($A23, 4)), 'Raw Annual Revenue'!$A:V, 21, FALSE) / 4
</f>
        <v>0</v>
      </c>
      <c r="W23" s="45"/>
      <c r="X23" s="45">
        <f>VLOOKUP(VALUE(LEFT($A25, 4)), 'Raw Annual Revenue'!$A:X, 23, FALSE) / 4
</f>
        <v>0</v>
      </c>
      <c r="Y23" s="43"/>
      <c r="Z23" s="43"/>
      <c r="AA23" s="43"/>
      <c r="AB23" s="43"/>
      <c r="AC23" s="43"/>
    </row>
    <row r="24">
      <c r="A24" s="42" t="s">
        <v>51</v>
      </c>
      <c r="B24" s="43"/>
      <c r="C24" s="46">
        <f>VLOOKUP(VALUE(LEFT(A24, 4)), 'Raw Annual Revenue'!A:C, 3, FALSE) / 4
</f>
        <v>250901.5</v>
      </c>
      <c r="D24" s="46">
        <f>VLOOKUP(VALUE(LEFT(A24, 4)), 'Raw Annual Revenue'!A:D, 4, FALSE) / 4
</f>
        <v>374768.75</v>
      </c>
      <c r="E24" s="46">
        <f>VLOOKUP(VALUE(LEFT(A24, 4)), 'Raw Annual Revenue'!A:E, 5, FALSE) / 4
</f>
        <v>3052.5</v>
      </c>
      <c r="F24" s="43"/>
      <c r="G24" s="43"/>
      <c r="H24" s="43"/>
      <c r="I24" s="43"/>
      <c r="J24" s="43"/>
      <c r="K24" s="43"/>
      <c r="L24" s="43"/>
      <c r="M24" s="43"/>
      <c r="N24" s="43"/>
      <c r="O24" s="47">
        <f>VLOOKUP(VALUE(LEFT(A26, 4)), 'Raw Annual Revenue'!A:O, 15, FALSE) / 4
</f>
        <v>132.875</v>
      </c>
      <c r="P24" s="43"/>
      <c r="Q24" s="43"/>
      <c r="R24" s="43"/>
      <c r="S24" s="45">
        <f>VLOOKUP(VALUE(LEFT($A24, 4)), 'Raw Annual Revenue'!$A:S, 18, FALSE) / 4</f>
        <v>0</v>
      </c>
      <c r="T24" s="43"/>
      <c r="U24" s="43"/>
      <c r="V24" s="45">
        <f>VLOOKUP(VALUE(LEFT($A24, 4)), 'Raw Annual Revenue'!$A:V, 21, FALSE) / 4
</f>
        <v>0</v>
      </c>
      <c r="W24" s="45"/>
      <c r="X24" s="45">
        <f>VLOOKUP(VALUE(LEFT($A26, 4)), 'Raw Annual Revenue'!$A:X, 23, FALSE) / 4
</f>
        <v>0</v>
      </c>
      <c r="Y24" s="43"/>
      <c r="Z24" s="43"/>
      <c r="AA24" s="43"/>
      <c r="AB24" s="43"/>
      <c r="AC24" s="43"/>
    </row>
    <row r="25">
      <c r="A25" s="42" t="s">
        <v>52</v>
      </c>
      <c r="B25" s="43"/>
      <c r="C25" s="46">
        <f>VLOOKUP(VALUE(LEFT(A25, 4)), 'Raw Annual Revenue'!A:C, 3, FALSE) / 4
</f>
        <v>250901.5</v>
      </c>
      <c r="D25" s="46">
        <f>VLOOKUP(VALUE(LEFT(A25, 4)), 'Raw Annual Revenue'!A:D, 4, FALSE) / 4
</f>
        <v>374768.75</v>
      </c>
      <c r="E25" s="46">
        <f>VLOOKUP(VALUE(LEFT(A25, 4)), 'Raw Annual Revenue'!A:E, 5, FALSE) / 4
</f>
        <v>3052.5</v>
      </c>
      <c r="F25" s="43"/>
      <c r="G25" s="43"/>
      <c r="H25" s="43"/>
      <c r="I25" s="43"/>
      <c r="J25" s="43"/>
      <c r="K25" s="43"/>
      <c r="L25" s="43"/>
      <c r="M25" s="43"/>
      <c r="N25" s="43"/>
      <c r="O25" s="47">
        <f>VLOOKUP(VALUE(LEFT(A27, 4)), 'Raw Annual Revenue'!A:O, 15, FALSE) / 4
</f>
        <v>231</v>
      </c>
      <c r="P25" s="43"/>
      <c r="Q25" s="43"/>
      <c r="R25" s="43"/>
      <c r="S25" s="45">
        <f>VLOOKUP(VALUE(LEFT($A25, 4)), 'Raw Annual Revenue'!$A:S, 18, FALSE) / 4</f>
        <v>0</v>
      </c>
      <c r="T25" s="43"/>
      <c r="U25" s="43"/>
      <c r="V25" s="45">
        <f>VLOOKUP(VALUE(LEFT($A25, 4)), 'Raw Annual Revenue'!$A:V, 21, FALSE) / 4
</f>
        <v>0</v>
      </c>
      <c r="W25" s="45"/>
      <c r="X25" s="45">
        <f>VLOOKUP(VALUE(LEFT($A27, 4)), 'Raw Annual Revenue'!$A:X, 23, FALSE) / 4
</f>
        <v>0</v>
      </c>
      <c r="Y25" s="43"/>
      <c r="Z25" s="43"/>
      <c r="AA25" s="43"/>
      <c r="AB25" s="43"/>
      <c r="AC25" s="43"/>
    </row>
    <row r="26">
      <c r="A26" s="42" t="s">
        <v>53</v>
      </c>
      <c r="B26" s="43"/>
      <c r="C26" s="46">
        <f>VLOOKUP(VALUE(LEFT(A26, 4)), 'Raw Annual Revenue'!A:C, 3, FALSE) / 4
</f>
        <v>250901.5</v>
      </c>
      <c r="D26" s="46">
        <f>VLOOKUP(VALUE(LEFT(A26, 4)), 'Raw Annual Revenue'!A:D, 4, FALSE) / 4
</f>
        <v>374768.75</v>
      </c>
      <c r="E26" s="46">
        <f>VLOOKUP(VALUE(LEFT(A26, 4)), 'Raw Annual Revenue'!A:E, 5, FALSE) / 4
</f>
        <v>3052.5</v>
      </c>
      <c r="F26" s="43"/>
      <c r="G26" s="43"/>
      <c r="H26" s="43"/>
      <c r="I26" s="43"/>
      <c r="J26" s="43"/>
      <c r="K26" s="43"/>
      <c r="L26" s="43"/>
      <c r="M26" s="43"/>
      <c r="N26" s="43"/>
      <c r="O26" s="47">
        <f>VLOOKUP(VALUE(LEFT(A28, 4)), 'Raw Annual Revenue'!A:O, 15, FALSE) / 4
</f>
        <v>231</v>
      </c>
      <c r="P26" s="43"/>
      <c r="Q26" s="43"/>
      <c r="R26" s="43"/>
      <c r="S26" s="45">
        <f>VLOOKUP(VALUE(LEFT($A26, 4)), 'Raw Annual Revenue'!$A:S, 18, FALSE) / 4</f>
        <v>0</v>
      </c>
      <c r="T26" s="43"/>
      <c r="U26" s="43"/>
      <c r="V26" s="45">
        <f>VLOOKUP(VALUE(LEFT($A26, 4)), 'Raw Annual Revenue'!$A:V, 21, FALSE) / 4
</f>
        <v>0</v>
      </c>
      <c r="W26" s="45"/>
      <c r="X26" s="45">
        <f>VLOOKUP(VALUE(LEFT($A28, 4)), 'Raw Annual Revenue'!$A:X, 23, FALSE) / 4
</f>
        <v>0</v>
      </c>
      <c r="Y26" s="43"/>
      <c r="Z26" s="43"/>
      <c r="AA26" s="43"/>
      <c r="AB26" s="43"/>
      <c r="AC26" s="43"/>
    </row>
    <row r="27">
      <c r="A27" s="42" t="s">
        <v>54</v>
      </c>
      <c r="B27" s="43"/>
      <c r="C27" s="46">
        <f>VLOOKUP(VALUE(LEFT(A27, 4)), 'Raw Annual Revenue'!A:C, 3, FALSE) / 4
</f>
        <v>215915.25</v>
      </c>
      <c r="D27" s="46">
        <f>VLOOKUP(VALUE(LEFT(A27, 4)), 'Raw Annual Revenue'!A:D, 4, FALSE) / 4
</f>
        <v>584953.25</v>
      </c>
      <c r="E27" s="46">
        <f>VLOOKUP(VALUE(LEFT(A27, 4)), 'Raw Annual Revenue'!A:E, 5, FALSE) / 4
</f>
        <v>5383.75</v>
      </c>
      <c r="F27" s="43"/>
      <c r="G27" s="43"/>
      <c r="H27" s="43"/>
      <c r="I27" s="43"/>
      <c r="J27" s="43"/>
      <c r="K27" s="43"/>
      <c r="L27" s="43"/>
      <c r="M27" s="43"/>
      <c r="N27" s="43"/>
      <c r="O27" s="47">
        <f>VLOOKUP(VALUE(LEFT(A29, 4)), 'Raw Annual Revenue'!A:O, 15, FALSE) / 4
</f>
        <v>231</v>
      </c>
      <c r="P27" s="43"/>
      <c r="Q27" s="43"/>
      <c r="R27" s="43"/>
      <c r="S27" s="45">
        <f>VLOOKUP(VALUE(LEFT($A27, 4)), 'Raw Annual Revenue'!$A:S, 18, FALSE) / 4</f>
        <v>0</v>
      </c>
      <c r="T27" s="43"/>
      <c r="U27" s="43"/>
      <c r="V27" s="45">
        <f>VLOOKUP(VALUE(LEFT($A27, 4)), 'Raw Annual Revenue'!$A:V, 21, FALSE) / 4
</f>
        <v>0</v>
      </c>
      <c r="W27" s="45"/>
      <c r="X27" s="45">
        <f>VLOOKUP(VALUE(LEFT($A29, 4)), 'Raw Annual Revenue'!$A:X, 23, FALSE) / 4
</f>
        <v>0</v>
      </c>
      <c r="Y27" s="43"/>
      <c r="Z27" s="43"/>
      <c r="AA27" s="43"/>
      <c r="AB27" s="43"/>
      <c r="AC27" s="43"/>
    </row>
    <row r="28">
      <c r="A28" s="42" t="s">
        <v>55</v>
      </c>
      <c r="B28" s="43"/>
      <c r="C28" s="46">
        <f>VLOOKUP(VALUE(LEFT(A28, 4)), 'Raw Annual Revenue'!A:C, 3, FALSE) / 4
</f>
        <v>215915.25</v>
      </c>
      <c r="D28" s="46">
        <f>VLOOKUP(VALUE(LEFT(A28, 4)), 'Raw Annual Revenue'!A:D, 4, FALSE) / 4
</f>
        <v>584953.25</v>
      </c>
      <c r="E28" s="46">
        <f>VLOOKUP(VALUE(LEFT(A28, 4)), 'Raw Annual Revenue'!A:E, 5, FALSE) / 4
</f>
        <v>5383.75</v>
      </c>
      <c r="F28" s="43"/>
      <c r="G28" s="43"/>
      <c r="H28" s="43"/>
      <c r="I28" s="43"/>
      <c r="J28" s="43"/>
      <c r="K28" s="43"/>
      <c r="L28" s="43"/>
      <c r="M28" s="43"/>
      <c r="N28" s="43"/>
      <c r="O28" s="47">
        <f>VLOOKUP(VALUE(LEFT(A30, 4)), 'Raw Annual Revenue'!A:O, 15, FALSE) / 4
</f>
        <v>231</v>
      </c>
      <c r="P28" s="43"/>
      <c r="Q28" s="43"/>
      <c r="R28" s="43"/>
      <c r="S28" s="45">
        <f>VLOOKUP(VALUE(LEFT($A28, 4)), 'Raw Annual Revenue'!$A:S, 18, FALSE) / 4</f>
        <v>0</v>
      </c>
      <c r="T28" s="43"/>
      <c r="U28" s="43"/>
      <c r="V28" s="45">
        <f>VLOOKUP(VALUE(LEFT($A28, 4)), 'Raw Annual Revenue'!$A:V, 21, FALSE) / 4
</f>
        <v>0</v>
      </c>
      <c r="W28" s="45"/>
      <c r="X28" s="45">
        <f>VLOOKUP(VALUE(LEFT($A30, 4)), 'Raw Annual Revenue'!$A:X, 23, FALSE) / 4
</f>
        <v>0</v>
      </c>
      <c r="Y28" s="43"/>
      <c r="Z28" s="43"/>
      <c r="AA28" s="43"/>
      <c r="AB28" s="43"/>
      <c r="AC28" s="43"/>
    </row>
    <row r="29">
      <c r="A29" s="42" t="s">
        <v>56</v>
      </c>
      <c r="B29" s="43"/>
      <c r="C29" s="46">
        <f>VLOOKUP(VALUE(LEFT(A29, 4)), 'Raw Annual Revenue'!A:C, 3, FALSE) / 4
</f>
        <v>215915.25</v>
      </c>
      <c r="D29" s="46">
        <f>VLOOKUP(VALUE(LEFT(A29, 4)), 'Raw Annual Revenue'!A:D, 4, FALSE) / 4
</f>
        <v>584953.25</v>
      </c>
      <c r="E29" s="46">
        <f>VLOOKUP(VALUE(LEFT(A29, 4)), 'Raw Annual Revenue'!A:E, 5, FALSE) / 4
</f>
        <v>5383.75</v>
      </c>
      <c r="F29" s="43"/>
      <c r="G29" s="43"/>
      <c r="H29" s="43"/>
      <c r="I29" s="43"/>
      <c r="J29" s="43"/>
      <c r="K29" s="43"/>
      <c r="L29" s="43"/>
      <c r="M29" s="43"/>
      <c r="N29" s="43"/>
      <c r="O29" s="47">
        <f>VLOOKUP(VALUE(LEFT(A31, 4)), 'Raw Annual Revenue'!A:O, 15, FALSE) / 4
</f>
        <v>247.75</v>
      </c>
      <c r="P29" s="43"/>
      <c r="Q29" s="43"/>
      <c r="R29" s="43"/>
      <c r="S29" s="45">
        <f>VLOOKUP(VALUE(LEFT($A29, 4)), 'Raw Annual Revenue'!$A:S, 18, FALSE) / 4</f>
        <v>0</v>
      </c>
      <c r="T29" s="43"/>
      <c r="U29" s="43"/>
      <c r="V29" s="45">
        <f>VLOOKUP(VALUE(LEFT($A29, 4)), 'Raw Annual Revenue'!$A:V, 21, FALSE) / 4
</f>
        <v>0</v>
      </c>
      <c r="W29" s="45"/>
      <c r="X29" s="45">
        <f>VLOOKUP(VALUE(LEFT($A31, 4)), 'Raw Annual Revenue'!$A:X, 23, FALSE) / 4
</f>
        <v>0</v>
      </c>
      <c r="Y29" s="43"/>
      <c r="Z29" s="43"/>
      <c r="AA29" s="43"/>
      <c r="AB29" s="43"/>
      <c r="AC29" s="43"/>
    </row>
    <row r="30">
      <c r="A30" s="42" t="s">
        <v>57</v>
      </c>
      <c r="B30" s="43"/>
      <c r="C30" s="46">
        <f>VLOOKUP(VALUE(LEFT(A30, 4)), 'Raw Annual Revenue'!A:C, 3, FALSE) / 4
</f>
        <v>215915.25</v>
      </c>
      <c r="D30" s="46">
        <f>VLOOKUP(VALUE(LEFT(A30, 4)), 'Raw Annual Revenue'!A:D, 4, FALSE) / 4
</f>
        <v>584953.25</v>
      </c>
      <c r="E30" s="46">
        <f>VLOOKUP(VALUE(LEFT(A30, 4)), 'Raw Annual Revenue'!A:E, 5, FALSE) / 4
</f>
        <v>5383.75</v>
      </c>
      <c r="F30" s="43"/>
      <c r="G30" s="43"/>
      <c r="H30" s="43"/>
      <c r="I30" s="43"/>
      <c r="J30" s="43"/>
      <c r="K30" s="43"/>
      <c r="L30" s="43"/>
      <c r="M30" s="43"/>
      <c r="N30" s="43"/>
      <c r="O30" s="47">
        <f>VLOOKUP(VALUE(LEFT(A32, 4)), 'Raw Annual Revenue'!A:O, 15, FALSE) / 4
</f>
        <v>247.75</v>
      </c>
      <c r="P30" s="43"/>
      <c r="Q30" s="43"/>
      <c r="R30" s="43"/>
      <c r="S30" s="45">
        <f>VLOOKUP(VALUE(LEFT($A30, 4)), 'Raw Annual Revenue'!$A:S, 18, FALSE) / 4</f>
        <v>0</v>
      </c>
      <c r="T30" s="43"/>
      <c r="U30" s="43"/>
      <c r="V30" s="45">
        <f>VLOOKUP(VALUE(LEFT($A30, 4)), 'Raw Annual Revenue'!$A:V, 21, FALSE) / 4
</f>
        <v>0</v>
      </c>
      <c r="W30" s="45"/>
      <c r="X30" s="45">
        <f>VLOOKUP(VALUE(LEFT($A32, 4)), 'Raw Annual Revenue'!$A:X, 23, FALSE) / 4
</f>
        <v>0</v>
      </c>
      <c r="Y30" s="43"/>
      <c r="Z30" s="43"/>
      <c r="AA30" s="43"/>
      <c r="AB30" s="43"/>
      <c r="AC30" s="43"/>
    </row>
    <row r="31">
      <c r="A31" s="42" t="s">
        <v>58</v>
      </c>
      <c r="B31" s="43"/>
      <c r="C31" s="46">
        <f>VLOOKUP(VALUE(LEFT(A31, 4)), 'Raw Annual Revenue'!A:C, 3, FALSE) / 4
</f>
        <v>228593</v>
      </c>
      <c r="D31" s="46">
        <f>VLOOKUP(VALUE(LEFT(A31, 4)), 'Raw Annual Revenue'!A:D, 4, FALSE) / 4
</f>
        <v>460753.25</v>
      </c>
      <c r="E31" s="46">
        <f>VLOOKUP(VALUE(LEFT(A31, 4)), 'Raw Annual Revenue'!A:E, 5, FALSE) / 4
</f>
        <v>10218.25</v>
      </c>
      <c r="F31" s="43"/>
      <c r="G31" s="43"/>
      <c r="H31" s="43"/>
      <c r="I31" s="43"/>
      <c r="J31" s="43"/>
      <c r="K31" s="43"/>
      <c r="L31" s="43"/>
      <c r="M31" s="43"/>
      <c r="N31" s="43"/>
      <c r="O31" s="47">
        <f>VLOOKUP(VALUE(LEFT(A33, 4)), 'Raw Annual Revenue'!A:O, 15, FALSE) / 4
</f>
        <v>247.75</v>
      </c>
      <c r="P31" s="43"/>
      <c r="Q31" s="43"/>
      <c r="R31" s="43"/>
      <c r="S31" s="45"/>
      <c r="T31" s="43"/>
      <c r="U31" s="43"/>
      <c r="V31" s="45">
        <f>VLOOKUP(VALUE(LEFT($A31, 4)), 'Raw Annual Revenue'!$A:V, 21, FALSE) / 4
</f>
        <v>0</v>
      </c>
      <c r="W31" s="43"/>
      <c r="X31" s="45">
        <f>VLOOKUP(VALUE(LEFT($A33, 4)), 'Raw Annual Revenue'!$A:X, 23, FALSE) / 4
</f>
        <v>0</v>
      </c>
      <c r="Y31" s="43"/>
      <c r="Z31" s="43"/>
      <c r="AA31" s="43"/>
      <c r="AB31" s="43"/>
      <c r="AC31" s="43"/>
    </row>
    <row r="32">
      <c r="A32" s="42" t="s">
        <v>59</v>
      </c>
      <c r="B32" s="43"/>
      <c r="C32" s="46">
        <f>VLOOKUP(VALUE(LEFT(A32, 4)), 'Raw Annual Revenue'!A:C, 3, FALSE) / 4
</f>
        <v>228593</v>
      </c>
      <c r="D32" s="46">
        <f>VLOOKUP(VALUE(LEFT(A32, 4)), 'Raw Annual Revenue'!A:D, 4, FALSE) / 4
</f>
        <v>460753.25</v>
      </c>
      <c r="E32" s="46">
        <f>VLOOKUP(VALUE(LEFT(A32, 4)), 'Raw Annual Revenue'!A:E, 5, FALSE) / 4
</f>
        <v>10218.25</v>
      </c>
      <c r="F32" s="43"/>
      <c r="G32" s="43"/>
      <c r="H32" s="43"/>
      <c r="I32" s="43"/>
      <c r="J32" s="43"/>
      <c r="K32" s="43"/>
      <c r="L32" s="43"/>
      <c r="M32" s="43"/>
      <c r="N32" s="43"/>
      <c r="O32" s="47">
        <f>VLOOKUP(VALUE(LEFT(A34, 4)), 'Raw Annual Revenue'!A:O, 15, FALSE) / 4
</f>
        <v>247.75</v>
      </c>
      <c r="P32" s="43"/>
      <c r="Q32" s="43"/>
      <c r="R32" s="43"/>
      <c r="S32" s="43"/>
      <c r="T32" s="43"/>
      <c r="U32" s="43"/>
      <c r="V32" s="45">
        <f>VLOOKUP(VALUE(LEFT($A32, 4)), 'Raw Annual Revenue'!$A:V, 21, FALSE) / 4
</f>
        <v>0</v>
      </c>
      <c r="W32" s="43"/>
      <c r="X32" s="45">
        <f>VLOOKUP(VALUE(LEFT($A34, 4)), 'Raw Annual Revenue'!$A:X, 23, FALSE) / 4
</f>
        <v>0</v>
      </c>
      <c r="Y32" s="43"/>
      <c r="Z32" s="43"/>
      <c r="AA32" s="43"/>
      <c r="AB32" s="43"/>
      <c r="AC32" s="43"/>
    </row>
    <row r="33">
      <c r="A33" s="42" t="s">
        <v>60</v>
      </c>
      <c r="B33" s="43"/>
      <c r="C33" s="46">
        <f>VLOOKUP(VALUE(LEFT(A33, 4)), 'Raw Annual Revenue'!A:C, 3, FALSE) / 4
</f>
        <v>228593</v>
      </c>
      <c r="D33" s="46">
        <f>VLOOKUP(VALUE(LEFT(A33, 4)), 'Raw Annual Revenue'!A:D, 4, FALSE) / 4
</f>
        <v>460753.25</v>
      </c>
      <c r="E33" s="46">
        <f>VLOOKUP(VALUE(LEFT(A33, 4)), 'Raw Annual Revenue'!A:E, 5, FALSE) / 4
</f>
        <v>10218.25</v>
      </c>
      <c r="F33" s="43"/>
      <c r="G33" s="43"/>
      <c r="H33" s="43"/>
      <c r="I33" s="43"/>
      <c r="J33" s="43"/>
      <c r="K33" s="43"/>
      <c r="L33" s="43"/>
      <c r="M33" s="43"/>
      <c r="N33" s="43"/>
      <c r="O33" s="47">
        <f>VLOOKUP(VALUE(LEFT(A35, 4)), 'Raw Annual Revenue'!A:O, 15, FALSE) / 4
</f>
        <v>997.5</v>
      </c>
      <c r="P33" s="43"/>
      <c r="Q33" s="43"/>
      <c r="R33" s="43"/>
      <c r="S33" s="43"/>
      <c r="T33" s="43"/>
      <c r="U33" s="43"/>
      <c r="V33" s="45">
        <f>VLOOKUP(VALUE(LEFT($A33, 4)), 'Raw Annual Revenue'!$A:V, 21, FALSE) / 4
</f>
        <v>0</v>
      </c>
      <c r="W33" s="43"/>
      <c r="X33" s="45">
        <f>VLOOKUP(VALUE(LEFT($A35, 4)), 'Raw Annual Revenue'!$A:X, 23, FALSE) / 4
</f>
        <v>0</v>
      </c>
      <c r="Y33" s="43"/>
      <c r="Z33" s="43"/>
      <c r="AA33" s="43"/>
      <c r="AB33" s="43"/>
      <c r="AC33" s="43"/>
    </row>
    <row r="34">
      <c r="A34" s="42" t="s">
        <v>61</v>
      </c>
      <c r="B34" s="43"/>
      <c r="C34" s="46">
        <f>VLOOKUP(VALUE(LEFT(A34, 4)), 'Raw Annual Revenue'!A:C, 3, FALSE) / 4
</f>
        <v>228593</v>
      </c>
      <c r="D34" s="46">
        <f>VLOOKUP(VALUE(LEFT(A34, 4)), 'Raw Annual Revenue'!A:D, 4, FALSE) / 4
</f>
        <v>460753.25</v>
      </c>
      <c r="E34" s="46">
        <f>VLOOKUP(VALUE(LEFT(A34, 4)), 'Raw Annual Revenue'!A:E, 5, FALSE) / 4
</f>
        <v>10218.25</v>
      </c>
      <c r="F34" s="43"/>
      <c r="G34" s="43"/>
      <c r="H34" s="43"/>
      <c r="I34" s="43"/>
      <c r="J34" s="43"/>
      <c r="K34" s="43"/>
      <c r="L34" s="43"/>
      <c r="M34" s="43"/>
      <c r="N34" s="43"/>
      <c r="O34" s="47">
        <f>VLOOKUP(VALUE(LEFT(A36, 4)), 'Raw Annual Revenue'!A:O, 15, FALSE) / 4
</f>
        <v>997.5</v>
      </c>
      <c r="P34" s="43"/>
      <c r="Q34" s="43"/>
      <c r="R34" s="43"/>
      <c r="S34" s="43"/>
      <c r="T34" s="43"/>
      <c r="U34" s="43"/>
      <c r="V34" s="45"/>
      <c r="W34" s="43"/>
      <c r="X34" s="45">
        <f>VLOOKUP(VALUE(LEFT($A36, 4)), 'Raw Annual Revenue'!$A:X, 23, FALSE) / 4
</f>
        <v>0</v>
      </c>
      <c r="Y34" s="43"/>
      <c r="Z34" s="43"/>
      <c r="AA34" s="43"/>
      <c r="AB34" s="43"/>
      <c r="AC34" s="43"/>
    </row>
    <row r="35">
      <c r="A35" s="42" t="s">
        <v>62</v>
      </c>
      <c r="B35" s="43"/>
      <c r="C35" s="46">
        <f>VLOOKUP(VALUE(LEFT(A35, 4)), 'Raw Annual Revenue'!A:C, 3, FALSE) / 4
</f>
        <v>240665</v>
      </c>
      <c r="D35" s="46">
        <f>VLOOKUP(VALUE(LEFT(A35, 4)), 'Raw Annual Revenue'!A:D, 4, FALSE) / 4
</f>
        <v>529863.75</v>
      </c>
      <c r="E35" s="46">
        <f>VLOOKUP(VALUE(LEFT(A35, 4)), 'Raw Annual Revenue'!A:E, 5, FALSE) / 4
</f>
        <v>16857</v>
      </c>
      <c r="F35" s="43"/>
      <c r="G35" s="43"/>
      <c r="H35" s="43"/>
      <c r="I35" s="43"/>
      <c r="J35" s="43"/>
      <c r="K35" s="43"/>
      <c r="L35" s="43"/>
      <c r="M35" s="43"/>
      <c r="N35" s="43"/>
      <c r="O35" s="47">
        <f>VLOOKUP(VALUE(LEFT(A37, 4)), 'Raw Annual Revenue'!A:O, 15, FALSE) / 4
</f>
        <v>997.5</v>
      </c>
      <c r="P35" s="43"/>
      <c r="Q35" s="43"/>
      <c r="R35" s="43"/>
      <c r="S35" s="43"/>
      <c r="T35" s="43"/>
      <c r="U35" s="43"/>
      <c r="V35" s="45"/>
      <c r="W35" s="43"/>
      <c r="X35" s="45">
        <f>VLOOKUP(VALUE(LEFT($A37, 4)), 'Raw Annual Revenue'!$A:X, 23, FALSE) / 4
</f>
        <v>0</v>
      </c>
      <c r="Y35" s="43"/>
      <c r="Z35" s="43"/>
      <c r="AA35" s="43"/>
      <c r="AB35" s="43"/>
      <c r="AC35" s="43"/>
    </row>
    <row r="36">
      <c r="A36" s="42" t="s">
        <v>63</v>
      </c>
      <c r="B36" s="43"/>
      <c r="C36" s="46">
        <f>VLOOKUP(VALUE(LEFT(A36, 4)), 'Raw Annual Revenue'!A:C, 3, FALSE) / 4
</f>
        <v>240665</v>
      </c>
      <c r="D36" s="46">
        <f>VLOOKUP(VALUE(LEFT(A36, 4)), 'Raw Annual Revenue'!A:D, 4, FALSE) / 4
</f>
        <v>529863.75</v>
      </c>
      <c r="E36" s="46">
        <f>VLOOKUP(VALUE(LEFT(A36, 4)), 'Raw Annual Revenue'!A:E, 5, FALSE) / 4
</f>
        <v>16857</v>
      </c>
      <c r="F36" s="43"/>
      <c r="G36" s="43"/>
      <c r="H36" s="43"/>
      <c r="I36" s="43"/>
      <c r="J36" s="43"/>
      <c r="K36" s="43"/>
      <c r="L36" s="43"/>
      <c r="M36" s="43"/>
      <c r="N36" s="43"/>
      <c r="O36" s="47">
        <f>VLOOKUP(VALUE(LEFT(A38, 4)), 'Raw Annual Revenue'!A:O, 15, FALSE) / 4
</f>
        <v>997.5</v>
      </c>
      <c r="P36" s="43"/>
      <c r="Q36" s="43"/>
      <c r="R36" s="43"/>
      <c r="S36" s="43"/>
      <c r="T36" s="43"/>
      <c r="U36" s="43"/>
      <c r="V36" s="45"/>
      <c r="W36" s="43"/>
      <c r="X36" s="45">
        <f>VLOOKUP(VALUE(LEFT($A38, 4)), 'Raw Annual Revenue'!$A:X, 23, FALSE) / 4
</f>
        <v>0</v>
      </c>
      <c r="Y36" s="43"/>
      <c r="Z36" s="43"/>
      <c r="AA36" s="43"/>
      <c r="AB36" s="43"/>
      <c r="AC36" s="43"/>
    </row>
    <row r="37">
      <c r="A37" s="42" t="s">
        <v>64</v>
      </c>
      <c r="B37" s="43"/>
      <c r="C37" s="46">
        <f>VLOOKUP(VALUE(LEFT(A37, 4)), 'Raw Annual Revenue'!A:C, 3, FALSE) / 4
</f>
        <v>240665</v>
      </c>
      <c r="D37" s="46">
        <f>VLOOKUP(VALUE(LEFT(A37, 4)), 'Raw Annual Revenue'!A:D, 4, FALSE) / 4
</f>
        <v>529863.75</v>
      </c>
      <c r="E37" s="46">
        <f>VLOOKUP(VALUE(LEFT(A37, 4)), 'Raw Annual Revenue'!A:E, 5, FALSE) / 4
</f>
        <v>16857</v>
      </c>
      <c r="F37" s="43"/>
      <c r="G37" s="43"/>
      <c r="H37" s="43"/>
      <c r="I37" s="43"/>
      <c r="J37" s="43"/>
      <c r="K37" s="43"/>
      <c r="L37" s="43"/>
      <c r="M37" s="43"/>
      <c r="N37" s="43"/>
      <c r="O37" s="47">
        <f>VLOOKUP(VALUE(LEFT(A39, 4)), 'Raw Annual Revenue'!A:O, 15, FALSE) / 4
</f>
        <v>2143.75</v>
      </c>
      <c r="P37" s="43"/>
      <c r="Q37" s="43"/>
      <c r="R37" s="43"/>
      <c r="S37" s="43"/>
      <c r="T37" s="43"/>
      <c r="U37" s="43"/>
      <c r="V37" s="45"/>
      <c r="W37" s="43"/>
      <c r="X37" s="45">
        <f>VLOOKUP(VALUE(LEFT($A39, 4)), 'Raw Annual Revenue'!$A:X, 23, FALSE) / 4
</f>
        <v>0</v>
      </c>
      <c r="Y37" s="43"/>
      <c r="Z37" s="43"/>
      <c r="AA37" s="43"/>
      <c r="AB37" s="43"/>
      <c r="AC37" s="43"/>
    </row>
    <row r="38">
      <c r="A38" s="42" t="s">
        <v>65</v>
      </c>
      <c r="B38" s="43"/>
      <c r="C38" s="46">
        <f>VLOOKUP(VALUE(LEFT(A38, 4)), 'Raw Annual Revenue'!A:C, 3, FALSE) / 4
</f>
        <v>240665</v>
      </c>
      <c r="D38" s="46">
        <f>VLOOKUP(VALUE(LEFT(A38, 4)), 'Raw Annual Revenue'!A:D, 4, FALSE) / 4
</f>
        <v>529863.75</v>
      </c>
      <c r="E38" s="46">
        <f>VLOOKUP(VALUE(LEFT(A38, 4)), 'Raw Annual Revenue'!A:E, 5, FALSE) / 4
</f>
        <v>16857</v>
      </c>
      <c r="F38" s="43"/>
      <c r="G38" s="43"/>
      <c r="H38" s="43"/>
      <c r="I38" s="43"/>
      <c r="J38" s="43"/>
      <c r="K38" s="43"/>
      <c r="L38" s="43"/>
      <c r="M38" s="43"/>
      <c r="N38" s="43"/>
      <c r="O38" s="47">
        <f>VLOOKUP(VALUE(LEFT(A40, 4)), 'Raw Annual Revenue'!A:O, 15, FALSE) / 4
</f>
        <v>2143.75</v>
      </c>
      <c r="P38" s="43"/>
      <c r="Q38" s="43"/>
      <c r="R38" s="43"/>
      <c r="S38" s="43"/>
      <c r="T38" s="43"/>
      <c r="U38" s="43"/>
      <c r="V38" s="45"/>
      <c r="W38" s="43"/>
      <c r="X38" s="45">
        <f>VLOOKUP(VALUE(LEFT($A40, 4)), 'Raw Annual Revenue'!$A:X, 23, FALSE) / 4
</f>
        <v>0</v>
      </c>
      <c r="Y38" s="43"/>
      <c r="Z38" s="43"/>
      <c r="AA38" s="43"/>
      <c r="AB38" s="43"/>
      <c r="AC38" s="43"/>
    </row>
    <row r="39">
      <c r="A39" s="42" t="s">
        <v>66</v>
      </c>
      <c r="B39" s="43"/>
      <c r="C39" s="46">
        <f>VLOOKUP(VALUE(LEFT(A39, 4)), 'Raw Annual Revenue'!A:C, 3, FALSE) / 4
</f>
        <v>280775.75</v>
      </c>
      <c r="D39" s="46">
        <f>VLOOKUP(VALUE(LEFT(A39, 4)), 'Raw Annual Revenue'!A:D, 4, FALSE) / 4
</f>
        <v>559396.5</v>
      </c>
      <c r="E39" s="46">
        <f>VLOOKUP(VALUE(LEFT(A39, 4)), 'Raw Annual Revenue'!A:E, 5, FALSE) / 4
</f>
        <v>25328.75</v>
      </c>
      <c r="F39" s="43"/>
      <c r="G39" s="43"/>
      <c r="H39" s="43"/>
      <c r="I39" s="43"/>
      <c r="J39" s="43"/>
      <c r="K39" s="43"/>
      <c r="L39" s="43"/>
      <c r="M39" s="43"/>
      <c r="N39" s="43"/>
      <c r="O39" s="47">
        <f>VLOOKUP(VALUE(LEFT(A41, 4)), 'Raw Annual Revenue'!A:O, 15, FALSE) / 4
</f>
        <v>2143.75</v>
      </c>
      <c r="P39" s="43"/>
      <c r="Q39" s="43"/>
      <c r="R39" s="43"/>
      <c r="S39" s="43"/>
      <c r="T39" s="43"/>
      <c r="U39" s="43"/>
      <c r="V39" s="45"/>
      <c r="W39" s="43"/>
      <c r="X39" s="45">
        <f>VLOOKUP(VALUE(LEFT($A41, 4)), 'Raw Annual Revenue'!$A:X, 23, FALSE) / 4
</f>
        <v>0</v>
      </c>
      <c r="Y39" s="43"/>
      <c r="Z39" s="43"/>
      <c r="AA39" s="43"/>
      <c r="AB39" s="43"/>
      <c r="AC39" s="43"/>
    </row>
    <row r="40">
      <c r="A40" s="42" t="s">
        <v>67</v>
      </c>
      <c r="B40" s="43"/>
      <c r="C40" s="46">
        <f>VLOOKUP(VALUE(LEFT(A40, 4)), 'Raw Annual Revenue'!A:C, 3, FALSE) / 4
</f>
        <v>280775.75</v>
      </c>
      <c r="D40" s="46">
        <f>VLOOKUP(VALUE(LEFT(A40, 4)), 'Raw Annual Revenue'!A:D, 4, FALSE) / 4
</f>
        <v>559396.5</v>
      </c>
      <c r="E40" s="46">
        <f>VLOOKUP(VALUE(LEFT(A40, 4)), 'Raw Annual Revenue'!A:E, 5, FALSE) / 4
</f>
        <v>25328.75</v>
      </c>
      <c r="F40" s="43"/>
      <c r="G40" s="43"/>
      <c r="H40" s="43"/>
      <c r="I40" s="43"/>
      <c r="J40" s="43"/>
      <c r="K40" s="43"/>
      <c r="L40" s="43"/>
      <c r="M40" s="43"/>
      <c r="N40" s="43"/>
      <c r="O40" s="47">
        <f>VLOOKUP(VALUE(LEFT(A42, 4)), 'Raw Annual Revenue'!A:O, 15, FALSE) / 4
</f>
        <v>2143.75</v>
      </c>
      <c r="P40" s="43"/>
      <c r="Q40" s="43"/>
      <c r="R40" s="43"/>
      <c r="S40" s="43"/>
      <c r="T40" s="43"/>
      <c r="U40" s="43"/>
      <c r="V40" s="45"/>
      <c r="W40" s="43"/>
      <c r="X40" s="45">
        <f>VLOOKUP(VALUE(LEFT($A42, 4)), 'Raw Annual Revenue'!$A:X, 23, FALSE) / 4
</f>
        <v>0</v>
      </c>
      <c r="Y40" s="43"/>
      <c r="Z40" s="43"/>
      <c r="AA40" s="43"/>
      <c r="AB40" s="43"/>
      <c r="AC40" s="43"/>
    </row>
    <row r="41">
      <c r="A41" s="42" t="s">
        <v>68</v>
      </c>
      <c r="B41" s="43"/>
      <c r="C41" s="46">
        <f>VLOOKUP(VALUE(LEFT(A41, 4)), 'Raw Annual Revenue'!A:C, 3, FALSE) / 4
</f>
        <v>280775.75</v>
      </c>
      <c r="D41" s="46">
        <f>VLOOKUP(VALUE(LEFT(A41, 4)), 'Raw Annual Revenue'!A:D, 4, FALSE) / 4
</f>
        <v>559396.5</v>
      </c>
      <c r="E41" s="46">
        <f>VLOOKUP(VALUE(LEFT(A41, 4)), 'Raw Annual Revenue'!A:E, 5, FALSE) / 4
</f>
        <v>25328.75</v>
      </c>
      <c r="F41" s="43"/>
      <c r="G41" s="43"/>
      <c r="H41" s="43"/>
      <c r="I41" s="43"/>
      <c r="J41" s="43"/>
      <c r="K41" s="43"/>
      <c r="L41" s="43"/>
      <c r="M41" s="43"/>
      <c r="N41" s="43"/>
      <c r="O41" s="47">
        <f>VLOOKUP(VALUE(LEFT(A43, 4)), 'Raw Annual Revenue'!A:O, 15, FALSE) / 4
</f>
        <v>3345.5</v>
      </c>
      <c r="P41" s="43"/>
      <c r="Q41" s="43"/>
      <c r="R41" s="43"/>
      <c r="S41" s="43"/>
      <c r="T41" s="43"/>
      <c r="U41" s="43"/>
      <c r="V41" s="45"/>
      <c r="W41" s="43"/>
      <c r="X41" s="45">
        <f>VLOOKUP(VALUE(LEFT($A43, 4)), 'Raw Annual Revenue'!$A:X, 23, FALSE) / 4
</f>
        <v>0</v>
      </c>
      <c r="Y41" s="43"/>
      <c r="Z41" s="43"/>
      <c r="AA41" s="43"/>
      <c r="AB41" s="43"/>
      <c r="AC41" s="43"/>
    </row>
    <row r="42">
      <c r="A42" s="42" t="s">
        <v>69</v>
      </c>
      <c r="B42" s="43"/>
      <c r="C42" s="46">
        <f>VLOOKUP(VALUE(LEFT(A42, 4)), 'Raw Annual Revenue'!A:C, 3, FALSE) / 4
</f>
        <v>280775.75</v>
      </c>
      <c r="D42" s="46">
        <f>VLOOKUP(VALUE(LEFT(A42, 4)), 'Raw Annual Revenue'!A:D, 4, FALSE) / 4
</f>
        <v>559396.5</v>
      </c>
      <c r="E42" s="46">
        <f>VLOOKUP(VALUE(LEFT(A42, 4)), 'Raw Annual Revenue'!A:E, 5, FALSE) / 4
</f>
        <v>25328.75</v>
      </c>
      <c r="F42" s="43"/>
      <c r="G42" s="43"/>
      <c r="H42" s="43"/>
      <c r="I42" s="43"/>
      <c r="J42" s="43"/>
      <c r="K42" s="43"/>
      <c r="L42" s="43"/>
      <c r="M42" s="43"/>
      <c r="N42" s="43"/>
      <c r="O42" s="47">
        <f>VLOOKUP(VALUE(LEFT(A44, 4)), 'Raw Annual Revenue'!A:O, 15, FALSE) / 4
</f>
        <v>3345.5</v>
      </c>
      <c r="P42" s="43"/>
      <c r="Q42" s="43"/>
      <c r="R42" s="43"/>
      <c r="S42" s="43"/>
      <c r="T42" s="43"/>
      <c r="U42" s="43"/>
      <c r="V42" s="45"/>
      <c r="W42" s="43"/>
      <c r="X42" s="45">
        <f>VLOOKUP(VALUE(LEFT($A44, 4)), 'Raw Annual Revenue'!$A:X, 23, FALSE) / 4
</f>
        <v>0</v>
      </c>
      <c r="Y42" s="43"/>
      <c r="Z42" s="43"/>
      <c r="AA42" s="43"/>
      <c r="AB42" s="43"/>
      <c r="AC42" s="43"/>
    </row>
    <row r="43">
      <c r="A43" s="42" t="s">
        <v>70</v>
      </c>
      <c r="B43" s="43"/>
      <c r="C43" s="46">
        <f>VLOOKUP(VALUE(LEFT(A43, 4)), 'Raw Annual Revenue'!A:C, 3, FALSE) / 4
</f>
        <v>352352.25</v>
      </c>
      <c r="D43" s="46">
        <f>VLOOKUP(VALUE(LEFT(A43, 4)), 'Raw Annual Revenue'!A:D, 4, FALSE) / 4
</f>
        <v>666333</v>
      </c>
      <c r="E43" s="46">
        <f>VLOOKUP(VALUE(LEFT(A43, 4)), 'Raw Annual Revenue'!A:E, 5, FALSE) / 4
</f>
        <v>42247.75</v>
      </c>
      <c r="F43" s="43"/>
      <c r="G43" s="43"/>
      <c r="H43" s="43"/>
      <c r="I43" s="43"/>
      <c r="J43" s="43"/>
      <c r="K43" s="43"/>
      <c r="L43" s="43"/>
      <c r="M43" s="43"/>
      <c r="N43" s="43"/>
      <c r="O43" s="47">
        <f>VLOOKUP(VALUE(LEFT(A45, 4)), 'Raw Annual Revenue'!A:O, 15, FALSE) / 4
</f>
        <v>3345.5</v>
      </c>
      <c r="P43" s="43"/>
      <c r="Q43" s="43"/>
      <c r="R43" s="43"/>
      <c r="S43" s="43"/>
      <c r="T43" s="43"/>
      <c r="U43" s="43"/>
      <c r="V43" s="45"/>
      <c r="W43" s="43"/>
      <c r="X43" s="45">
        <f>VLOOKUP(VALUE(LEFT($A45, 4)), 'Raw Annual Revenue'!$A:X, 23, FALSE) / 4
</f>
        <v>0</v>
      </c>
      <c r="Y43" s="43"/>
      <c r="Z43" s="43"/>
      <c r="AA43" s="43"/>
      <c r="AB43" s="43"/>
      <c r="AC43" s="43"/>
    </row>
    <row r="44">
      <c r="A44" s="42" t="s">
        <v>71</v>
      </c>
      <c r="B44" s="43"/>
      <c r="C44" s="46">
        <f>VLOOKUP(VALUE(LEFT(A44, 4)), 'Raw Annual Revenue'!A:C, 3, FALSE) / 4
</f>
        <v>352352.25</v>
      </c>
      <c r="D44" s="46">
        <f>VLOOKUP(VALUE(LEFT(A44, 4)), 'Raw Annual Revenue'!A:D, 4, FALSE) / 4
</f>
        <v>666333</v>
      </c>
      <c r="E44" s="46">
        <f>VLOOKUP(VALUE(LEFT(A44, 4)), 'Raw Annual Revenue'!A:E, 5, FALSE) / 4
</f>
        <v>42247.75</v>
      </c>
      <c r="F44" s="43"/>
      <c r="G44" s="43"/>
      <c r="H44" s="43"/>
      <c r="I44" s="43"/>
      <c r="J44" s="43"/>
      <c r="K44" s="43"/>
      <c r="L44" s="43"/>
      <c r="M44" s="43"/>
      <c r="N44" s="43"/>
      <c r="O44" s="47">
        <f>VLOOKUP(VALUE(LEFT(A46, 4)), 'Raw Annual Revenue'!A:O, 15, FALSE) / 4
</f>
        <v>3345.5</v>
      </c>
      <c r="P44" s="43"/>
      <c r="Q44" s="43"/>
      <c r="R44" s="43"/>
      <c r="S44" s="43"/>
      <c r="T44" s="43"/>
      <c r="U44" s="43"/>
      <c r="V44" s="45">
        <f>VLOOKUP(VALUE(LEFT($A44, 4)), 'Raw Annual Revenue'!$A:V, 21, FALSE) / 4
</f>
        <v>0</v>
      </c>
      <c r="W44" s="43"/>
      <c r="X44" s="45">
        <f>VLOOKUP(VALUE(LEFT($A46, 4)), 'Raw Annual Revenue'!$A:X, 23, FALSE) / 4
</f>
        <v>0</v>
      </c>
      <c r="Y44" s="43"/>
      <c r="Z44" s="43"/>
      <c r="AA44" s="43"/>
      <c r="AB44" s="43"/>
      <c r="AC44" s="43"/>
    </row>
    <row r="45">
      <c r="A45" s="42" t="s">
        <v>72</v>
      </c>
      <c r="B45" s="43"/>
      <c r="C45" s="46">
        <f>VLOOKUP(VALUE(LEFT(A45, 4)), 'Raw Annual Revenue'!A:C, 3, FALSE) / 4
</f>
        <v>352352.25</v>
      </c>
      <c r="D45" s="46">
        <f>VLOOKUP(VALUE(LEFT(A45, 4)), 'Raw Annual Revenue'!A:D, 4, FALSE) / 4
</f>
        <v>666333</v>
      </c>
      <c r="E45" s="46">
        <f>VLOOKUP(VALUE(LEFT(A45, 4)), 'Raw Annual Revenue'!A:E, 5, FALSE) / 4
</f>
        <v>42247.75</v>
      </c>
      <c r="F45" s="43"/>
      <c r="G45" s="43"/>
      <c r="H45" s="43"/>
      <c r="I45" s="43"/>
      <c r="J45" s="43"/>
      <c r="K45" s="43"/>
      <c r="L45" s="43"/>
      <c r="M45" s="43"/>
      <c r="N45" s="43"/>
      <c r="O45" s="47">
        <f>VLOOKUP(VALUE(LEFT(A47, 4)), 'Raw Annual Revenue'!A:O, 15, FALSE) / 4
</f>
        <v>5661</v>
      </c>
      <c r="P45" s="43"/>
      <c r="Q45" s="43"/>
      <c r="R45" s="43"/>
      <c r="S45" s="43"/>
      <c r="T45" s="43"/>
      <c r="U45" s="43"/>
      <c r="V45" s="45">
        <f>VLOOKUP(VALUE(LEFT($A45, 4)), 'Raw Annual Revenue'!$A:V, 21, FALSE) / 4
</f>
        <v>0</v>
      </c>
      <c r="W45" s="43"/>
      <c r="X45" s="45">
        <f>VLOOKUP(VALUE(LEFT($A47, 4)), 'Raw Annual Revenue'!$A:X, 23, FALSE) / 4
</f>
        <v>0</v>
      </c>
      <c r="Y45" s="43"/>
      <c r="Z45" s="43"/>
      <c r="AA45" s="43"/>
      <c r="AB45" s="43"/>
      <c r="AC45" s="43"/>
    </row>
    <row r="46">
      <c r="A46" s="42" t="s">
        <v>73</v>
      </c>
      <c r="B46" s="43"/>
      <c r="C46" s="46">
        <f>VLOOKUP(VALUE(LEFT(A46, 4)), 'Raw Annual Revenue'!A:C, 3, FALSE) / 4
</f>
        <v>352352.25</v>
      </c>
      <c r="D46" s="46">
        <f>VLOOKUP(VALUE(LEFT(A46, 4)), 'Raw Annual Revenue'!A:D, 4, FALSE) / 4
</f>
        <v>666333</v>
      </c>
      <c r="E46" s="46">
        <f>VLOOKUP(VALUE(LEFT(A46, 4)), 'Raw Annual Revenue'!A:E, 5, FALSE) / 4
</f>
        <v>42247.75</v>
      </c>
      <c r="F46" s="43"/>
      <c r="G46" s="43"/>
      <c r="H46" s="43"/>
      <c r="I46" s="43"/>
      <c r="J46" s="43"/>
      <c r="K46" s="43"/>
      <c r="L46" s="43"/>
      <c r="M46" s="43"/>
      <c r="N46" s="43"/>
      <c r="O46" s="47">
        <f>VLOOKUP(VALUE(LEFT(A48, 4)), 'Raw Annual Revenue'!A:O, 15, FALSE) / 4
</f>
        <v>5661</v>
      </c>
      <c r="P46" s="43"/>
      <c r="Q46" s="43"/>
      <c r="R46" s="43"/>
      <c r="S46" s="43"/>
      <c r="T46" s="43"/>
      <c r="U46" s="43"/>
      <c r="V46" s="45">
        <f>VLOOKUP(VALUE(LEFT($A46, 4)), 'Raw Annual Revenue'!$A:V, 21, FALSE) / 4
</f>
        <v>0</v>
      </c>
      <c r="W46" s="43"/>
      <c r="X46" s="45">
        <f>VLOOKUP(VALUE(LEFT($A48, 4)), 'Raw Annual Revenue'!$A:X, 23, FALSE) / 4
</f>
        <v>0</v>
      </c>
      <c r="Y46" s="43"/>
      <c r="Z46" s="43"/>
      <c r="AA46" s="43"/>
      <c r="AB46" s="43"/>
      <c r="AC46" s="43"/>
    </row>
    <row r="47">
      <c r="A47" s="42" t="s">
        <v>74</v>
      </c>
      <c r="B47" s="43"/>
      <c r="C47" s="46">
        <f>VLOOKUP(VALUE(LEFT(A47, 4)), 'Raw Annual Revenue'!A:C, 3, FALSE) / 4
</f>
        <v>471201.5</v>
      </c>
      <c r="D47" s="46">
        <f>VLOOKUP(VALUE(LEFT(A47, 4)), 'Raw Annual Revenue'!A:D, 4, FALSE) / 4
</f>
        <v>734253.25</v>
      </c>
      <c r="E47" s="46">
        <f>VLOOKUP(VALUE(LEFT(A47, 4)), 'Raw Annual Revenue'!A:E, 5, FALSE) / 4
</f>
        <v>56219.5</v>
      </c>
      <c r="F47" s="43"/>
      <c r="G47" s="43"/>
      <c r="H47" s="43"/>
      <c r="I47" s="43"/>
      <c r="J47" s="43"/>
      <c r="K47" s="43"/>
      <c r="L47" s="43"/>
      <c r="M47" s="43"/>
      <c r="N47" s="43"/>
      <c r="O47" s="47">
        <f>VLOOKUP(VALUE(LEFT(A49, 4)), 'Raw Annual Revenue'!A:O, 15, FALSE) / 4
</f>
        <v>5661</v>
      </c>
      <c r="P47" s="43"/>
      <c r="Q47" s="43"/>
      <c r="R47" s="43"/>
      <c r="S47" s="43"/>
      <c r="T47" s="43"/>
      <c r="U47" s="43"/>
      <c r="V47" s="45">
        <f>VLOOKUP(VALUE(LEFT($A47, 4)), 'Raw Annual Revenue'!$A:V, 21, FALSE) / 4
</f>
        <v>0</v>
      </c>
      <c r="W47" s="43"/>
      <c r="X47" s="45">
        <f>VLOOKUP(VALUE(LEFT($A49, 4)), 'Raw Annual Revenue'!$A:X, 23, FALSE) / 4
</f>
        <v>0</v>
      </c>
      <c r="Y47" s="43"/>
      <c r="Z47" s="43"/>
      <c r="AA47" s="43"/>
      <c r="AB47" s="43"/>
      <c r="AC47" s="43"/>
    </row>
    <row r="48">
      <c r="A48" s="42" t="s">
        <v>75</v>
      </c>
      <c r="B48" s="43"/>
      <c r="C48" s="46">
        <f>VLOOKUP(VALUE(LEFT(A48, 4)), 'Raw Annual Revenue'!A:C, 3, FALSE) / 4
</f>
        <v>471201.5</v>
      </c>
      <c r="D48" s="46">
        <f>VLOOKUP(VALUE(LEFT(A48, 4)), 'Raw Annual Revenue'!A:D, 4, FALSE) / 4
</f>
        <v>734253.25</v>
      </c>
      <c r="E48" s="46">
        <f>VLOOKUP(VALUE(LEFT(A48, 4)), 'Raw Annual Revenue'!A:E, 5, FALSE) / 4
</f>
        <v>56219.5</v>
      </c>
      <c r="F48" s="43"/>
      <c r="G48" s="43"/>
      <c r="H48" s="43"/>
      <c r="I48" s="43"/>
      <c r="J48" s="49">
        <f>VLOOKUP(VALUE(LEFT(A51, 4)), 'Raw Annual Revenue'!A:J, 10, FALSE) / 4</f>
        <v>17138</v>
      </c>
      <c r="K48" s="43"/>
      <c r="L48" s="43"/>
      <c r="M48" s="43"/>
      <c r="N48" s="43"/>
      <c r="O48" s="47">
        <f>VLOOKUP(VALUE(LEFT(A50, 4)), 'Raw Annual Revenue'!A:O, 15, FALSE) / 4
</f>
        <v>5661</v>
      </c>
      <c r="P48" s="43"/>
      <c r="Q48" s="43"/>
      <c r="R48" s="43"/>
      <c r="S48" s="43"/>
      <c r="T48" s="43"/>
      <c r="U48" s="43"/>
      <c r="V48" s="45">
        <f>VLOOKUP(VALUE(LEFT($A48, 4)), 'Raw Annual Revenue'!$A:V, 21, FALSE) / 4
</f>
        <v>0</v>
      </c>
      <c r="W48" s="43"/>
      <c r="X48" s="45">
        <f>VLOOKUP(VALUE(LEFT($A50, 4)), 'Raw Annual Revenue'!$A:X, 23, FALSE) / 4
</f>
        <v>0</v>
      </c>
      <c r="Y48" s="43"/>
      <c r="Z48" s="43"/>
      <c r="AA48" s="43"/>
      <c r="AB48" s="43"/>
      <c r="AC48" s="43"/>
    </row>
    <row r="49">
      <c r="A49" s="42" t="s">
        <v>76</v>
      </c>
      <c r="B49" s="43"/>
      <c r="C49" s="46">
        <f>VLOOKUP(VALUE(LEFT(A49, 4)), 'Raw Annual Revenue'!A:C, 3, FALSE) / 4
</f>
        <v>471201.5</v>
      </c>
      <c r="D49" s="46">
        <f>VLOOKUP(VALUE(LEFT(A49, 4)), 'Raw Annual Revenue'!A:D, 4, FALSE) / 4
</f>
        <v>734253.25</v>
      </c>
      <c r="E49" s="46">
        <f>VLOOKUP(VALUE(LEFT(A49, 4)), 'Raw Annual Revenue'!A:E, 5, FALSE) / 4
</f>
        <v>56219.5</v>
      </c>
      <c r="F49" s="43"/>
      <c r="G49" s="43"/>
      <c r="H49" s="43"/>
      <c r="I49" s="43"/>
      <c r="J49" s="46">
        <f>VLOOKUP(VALUE(LEFT(A52, 4)), 'Raw Annual Revenue'!A:J, 10, FALSE) / 4</f>
        <v>17138</v>
      </c>
      <c r="K49" s="43"/>
      <c r="L49" s="43"/>
      <c r="M49" s="43"/>
      <c r="N49" s="43"/>
      <c r="O49" s="47">
        <f>VLOOKUP(VALUE(LEFT(A51, 4)), 'Raw Annual Revenue'!A:O, 15, FALSE) / 4
</f>
        <v>5749.25</v>
      </c>
      <c r="P49" s="43"/>
      <c r="Q49" s="43"/>
      <c r="R49" s="43"/>
      <c r="S49" s="43"/>
      <c r="T49" s="43"/>
      <c r="U49" s="43"/>
      <c r="V49" s="45">
        <f>VLOOKUP(VALUE(LEFT($A49, 4)), 'Raw Annual Revenue'!$A:V, 21, FALSE) / 4
</f>
        <v>0</v>
      </c>
      <c r="W49" s="43"/>
      <c r="X49" s="45">
        <f>VLOOKUP(VALUE(LEFT($A51, 4)), 'Raw Annual Revenue'!$A:X, 23, FALSE) / 4
</f>
        <v>0</v>
      </c>
      <c r="Y49" s="43"/>
      <c r="Z49" s="43"/>
      <c r="AA49" s="43"/>
      <c r="AB49" s="43"/>
      <c r="AC49" s="43"/>
    </row>
    <row r="50">
      <c r="A50" s="42" t="s">
        <v>77</v>
      </c>
      <c r="B50" s="43"/>
      <c r="C50" s="46">
        <f>VLOOKUP(VALUE(LEFT(A50, 4)), 'Raw Annual Revenue'!A:C, 3, FALSE) / 4
</f>
        <v>471201.5</v>
      </c>
      <c r="D50" s="46">
        <f>VLOOKUP(VALUE(LEFT(A50, 4)), 'Raw Annual Revenue'!A:D, 4, FALSE) / 4
</f>
        <v>734253.25</v>
      </c>
      <c r="E50" s="46">
        <f>VLOOKUP(VALUE(LEFT(A50, 4)), 'Raw Annual Revenue'!A:E, 5, FALSE) / 4
</f>
        <v>56219.5</v>
      </c>
      <c r="F50" s="43"/>
      <c r="G50" s="43"/>
      <c r="H50" s="43"/>
      <c r="I50" s="43"/>
      <c r="J50" s="46">
        <f>VLOOKUP(VALUE(LEFT(A53, 4)), 'Raw Annual Revenue'!A:J, 10, FALSE) / 4</f>
        <v>17138</v>
      </c>
      <c r="K50" s="43"/>
      <c r="L50" s="43"/>
      <c r="M50" s="43"/>
      <c r="N50" s="43"/>
      <c r="O50" s="47">
        <f>VLOOKUP(VALUE(LEFT(A52, 4)), 'Raw Annual Revenue'!A:O, 15, FALSE) / 4
</f>
        <v>5749.25</v>
      </c>
      <c r="P50" s="43"/>
      <c r="Q50" s="43"/>
      <c r="R50" s="43"/>
      <c r="S50" s="43"/>
      <c r="T50" s="43"/>
      <c r="U50" s="43"/>
      <c r="V50" s="45">
        <f>VLOOKUP(VALUE(LEFT($A50, 4)), 'Raw Annual Revenue'!$A:V, 21, FALSE) / 4
</f>
        <v>0</v>
      </c>
      <c r="W50" s="43"/>
      <c r="X50" s="45">
        <f>VLOOKUP(VALUE(LEFT($A52, 4)), 'Raw Annual Revenue'!$A:X, 23, FALSE) / 4
</f>
        <v>0</v>
      </c>
      <c r="Y50" s="43"/>
      <c r="Z50" s="43"/>
      <c r="AA50" s="43"/>
      <c r="AB50" s="43"/>
      <c r="AC50" s="43"/>
    </row>
    <row r="51">
      <c r="A51" s="42" t="s">
        <v>78</v>
      </c>
      <c r="B51" s="43"/>
      <c r="C51" s="46">
        <f>VLOOKUP(VALUE(LEFT(A51, 4)), 'Raw Annual Revenue'!A:C, 3, FALSE) / 4
</f>
        <v>584553</v>
      </c>
      <c r="D51" s="46">
        <f>VLOOKUP(VALUE(LEFT(A51, 4)), 'Raw Annual Revenue'!A:D, 4, FALSE) / 4
</f>
        <v>685762.75</v>
      </c>
      <c r="E51" s="46">
        <f>VLOOKUP(VALUE(LEFT(A51, 4)), 'Raw Annual Revenue'!A:E, 5, FALSE) / 4
</f>
        <v>75012.75</v>
      </c>
      <c r="F51" s="46">
        <f>VLOOKUP(VALUE(LEFT(A51, 4)), 'Raw Annual Revenue'!A:F, 6, FALSE) / 4</f>
        <v>88022.25</v>
      </c>
      <c r="G51" s="46"/>
      <c r="H51" s="46"/>
      <c r="I51" s="46"/>
      <c r="J51" s="46">
        <f>VLOOKUP(VALUE(LEFT(A54, 4)), 'Raw Annual Revenue'!A:J, 10, FALSE) / 4</f>
        <v>17138</v>
      </c>
      <c r="K51" s="43"/>
      <c r="L51" s="46">
        <f>VLOOKUP(VALUE(LEFT($A51, 4)), 'Raw Annual Revenue'!$A:L, 12, FALSE) / 4</f>
        <v>47420.75</v>
      </c>
      <c r="M51" s="43"/>
      <c r="N51" s="43"/>
      <c r="O51" s="47">
        <f>VLOOKUP(VALUE(LEFT(A53, 4)), 'Raw Annual Revenue'!A:O, 15, FALSE) / 4
</f>
        <v>5749.25</v>
      </c>
      <c r="P51" s="43"/>
      <c r="Q51" s="43"/>
      <c r="R51" s="43"/>
      <c r="S51" s="43"/>
      <c r="T51" s="43"/>
      <c r="U51" s="43"/>
      <c r="V51" s="45">
        <f>VLOOKUP(VALUE(LEFT($A51, 4)), 'Raw Annual Revenue'!$A:V, 21, FALSE) / 4
</f>
        <v>0</v>
      </c>
      <c r="W51" s="43"/>
      <c r="X51" s="45">
        <f>VLOOKUP(VALUE(LEFT($A53, 4)), 'Raw Annual Revenue'!$A:X, 23, FALSE) / 4
</f>
        <v>0</v>
      </c>
      <c r="Y51" s="43"/>
      <c r="Z51" s="43"/>
      <c r="AA51" s="43"/>
      <c r="AB51" s="43"/>
      <c r="AC51" s="43"/>
    </row>
    <row r="52">
      <c r="A52" s="42" t="s">
        <v>79</v>
      </c>
      <c r="B52" s="43"/>
      <c r="C52" s="46">
        <f>VLOOKUP(VALUE(LEFT(A52, 4)), 'Raw Annual Revenue'!A:C, 3, FALSE) / 4
</f>
        <v>584553</v>
      </c>
      <c r="D52" s="46">
        <f>VLOOKUP(VALUE(LEFT(A52, 4)), 'Raw Annual Revenue'!A:D, 4, FALSE) / 4
</f>
        <v>685762.75</v>
      </c>
      <c r="E52" s="46">
        <f>VLOOKUP(VALUE(LEFT(A52, 4)), 'Raw Annual Revenue'!A:E, 5, FALSE) / 4
</f>
        <v>75012.75</v>
      </c>
      <c r="F52" s="46">
        <f>VLOOKUP(VALUE(LEFT(A52, 4)), 'Raw Annual Revenue'!A:F, 6, FALSE) / 4</f>
        <v>88022.25</v>
      </c>
      <c r="G52" s="43"/>
      <c r="H52" s="43"/>
      <c r="I52" s="43"/>
      <c r="J52" s="46">
        <f>VLOOKUP(VALUE(LEFT(A55, 4)), 'Raw Annual Revenue'!A:J, 10, FALSE) / 4</f>
        <v>20890</v>
      </c>
      <c r="K52" s="43"/>
      <c r="L52" s="46">
        <f>VLOOKUP(VALUE(LEFT($A52, 4)), 'Raw Annual Revenue'!$A:L, 12, FALSE) / 4</f>
        <v>47420.75</v>
      </c>
      <c r="M52" s="43"/>
      <c r="N52" s="43"/>
      <c r="O52" s="47">
        <f>VLOOKUP(VALUE(LEFT(A54, 4)), 'Raw Annual Revenue'!A:O, 15, FALSE) / 4
</f>
        <v>5749.25</v>
      </c>
      <c r="P52" s="43"/>
      <c r="Q52" s="43"/>
      <c r="R52" s="43"/>
      <c r="S52" s="43"/>
      <c r="T52" s="43"/>
      <c r="U52" s="43"/>
      <c r="V52" s="45">
        <f>VLOOKUP(VALUE(LEFT($A52, 4)), 'Raw Annual Revenue'!$A:V, 21, FALSE) / 4
</f>
        <v>0</v>
      </c>
      <c r="W52" s="43"/>
      <c r="X52" s="45">
        <f>VLOOKUP(VALUE(LEFT($A54, 4)), 'Raw Annual Revenue'!$A:X, 23, FALSE) / 4
</f>
        <v>0</v>
      </c>
      <c r="Y52" s="43"/>
      <c r="Z52" s="43"/>
      <c r="AA52" s="43"/>
      <c r="AB52" s="43"/>
      <c r="AC52" s="43"/>
    </row>
    <row r="53">
      <c r="A53" s="42" t="s">
        <v>80</v>
      </c>
      <c r="B53" s="43"/>
      <c r="C53" s="46">
        <f>VLOOKUP(VALUE(LEFT(A53, 4)), 'Raw Annual Revenue'!A:C, 3, FALSE) / 4
</f>
        <v>584553</v>
      </c>
      <c r="D53" s="46">
        <f>VLOOKUP(VALUE(LEFT(A53, 4)), 'Raw Annual Revenue'!A:D, 4, FALSE) / 4
</f>
        <v>685762.75</v>
      </c>
      <c r="E53" s="46">
        <f>VLOOKUP(VALUE(LEFT(A53, 4)), 'Raw Annual Revenue'!A:E, 5, FALSE) / 4
</f>
        <v>75012.75</v>
      </c>
      <c r="F53" s="46">
        <f>VLOOKUP(VALUE(LEFT(A53, 4)), 'Raw Annual Revenue'!A:F, 6, FALSE) / 4</f>
        <v>88022.25</v>
      </c>
      <c r="G53" s="43"/>
      <c r="H53" s="43"/>
      <c r="I53" s="43"/>
      <c r="J53" s="46">
        <f>VLOOKUP(VALUE(LEFT(A56, 4)), 'Raw Annual Revenue'!A:J, 10, FALSE) / 4</f>
        <v>20890</v>
      </c>
      <c r="K53" s="43"/>
      <c r="L53" s="46">
        <f>VLOOKUP(VALUE(LEFT($A53, 4)), 'Raw Annual Revenue'!$A:L, 12, FALSE) / 4</f>
        <v>47420.75</v>
      </c>
      <c r="M53" s="43"/>
      <c r="N53" s="43"/>
      <c r="O53" s="47">
        <f>VLOOKUP(VALUE(LEFT(A55, 4)), 'Raw Annual Revenue'!A:O, 15, FALSE) / 4
</f>
        <v>7913.25</v>
      </c>
      <c r="P53" s="43"/>
      <c r="Q53" s="43"/>
      <c r="R53" s="43"/>
      <c r="S53" s="43"/>
      <c r="T53" s="43"/>
      <c r="U53" s="43"/>
      <c r="V53" s="45">
        <f>VLOOKUP(VALUE(LEFT($A53, 4)), 'Raw Annual Revenue'!$A:V, 21, FALSE) / 4
</f>
        <v>0</v>
      </c>
      <c r="W53" s="43"/>
      <c r="X53" s="45">
        <f>VLOOKUP(VALUE(LEFT($A55, 4)), 'Raw Annual Revenue'!$A:X, 23, FALSE) / 4
</f>
        <v>0</v>
      </c>
      <c r="Y53" s="43"/>
      <c r="Z53" s="43"/>
      <c r="AA53" s="43"/>
      <c r="AB53" s="43"/>
      <c r="AC53" s="43"/>
    </row>
    <row r="54">
      <c r="A54" s="42" t="s">
        <v>81</v>
      </c>
      <c r="B54" s="43"/>
      <c r="C54" s="46">
        <f>VLOOKUP(VALUE(LEFT(A54, 4)), 'Raw Annual Revenue'!A:C, 3, FALSE) / 4
</f>
        <v>584553</v>
      </c>
      <c r="D54" s="46">
        <f>VLOOKUP(VALUE(LEFT(A54, 4)), 'Raw Annual Revenue'!A:D, 4, FALSE) / 4
</f>
        <v>685762.75</v>
      </c>
      <c r="E54" s="46">
        <f>VLOOKUP(VALUE(LEFT(A54, 4)), 'Raw Annual Revenue'!A:E, 5, FALSE) / 4
</f>
        <v>75012.75</v>
      </c>
      <c r="F54" s="46">
        <f>VLOOKUP(VALUE(LEFT(A54, 4)), 'Raw Annual Revenue'!A:F, 6, FALSE) / 4</f>
        <v>88022.25</v>
      </c>
      <c r="G54" s="43"/>
      <c r="H54" s="43"/>
      <c r="I54" s="43"/>
      <c r="J54" s="46">
        <f>VLOOKUP(VALUE(LEFT(A57, 4)), 'Raw Annual Revenue'!A:J, 10, FALSE) / 4</f>
        <v>20890</v>
      </c>
      <c r="K54" s="43"/>
      <c r="L54" s="46">
        <f>VLOOKUP(VALUE(LEFT($A54, 4)), 'Raw Annual Revenue'!$A:L, 12, FALSE) / 4</f>
        <v>47420.75</v>
      </c>
      <c r="M54" s="43"/>
      <c r="N54" s="43"/>
      <c r="O54" s="47">
        <f>VLOOKUP(VALUE(LEFT(A56, 4)), 'Raw Annual Revenue'!A:O, 15, FALSE) / 4
</f>
        <v>7913.25</v>
      </c>
      <c r="P54" s="43"/>
      <c r="Q54" s="43"/>
      <c r="R54" s="43"/>
      <c r="S54" s="43"/>
      <c r="T54" s="43"/>
      <c r="U54" s="43"/>
      <c r="V54" s="45">
        <f>VLOOKUP(VALUE(LEFT($A54, 4)), 'Raw Annual Revenue'!$A:V, 21, FALSE) / 4
</f>
        <v>0</v>
      </c>
      <c r="W54" s="43"/>
      <c r="X54" s="45">
        <f>VLOOKUP(VALUE(LEFT($A56, 4)), 'Raw Annual Revenue'!$A:X, 23, FALSE) / 4
</f>
        <v>0</v>
      </c>
      <c r="Y54" s="43"/>
      <c r="Z54" s="43"/>
      <c r="AA54" s="43"/>
      <c r="AB54" s="43"/>
      <c r="AC54" s="43"/>
    </row>
    <row r="55">
      <c r="A55" s="42" t="s">
        <v>82</v>
      </c>
      <c r="B55" s="43"/>
      <c r="C55" s="46">
        <f>VLOOKUP(VALUE(LEFT(A55, 4)), 'Raw Annual Revenue'!A:C, 3, FALSE) / 4
</f>
        <v>771226.25</v>
      </c>
      <c r="D55" s="46">
        <f>VLOOKUP(VALUE(LEFT(A55, 4)), 'Raw Annual Revenue'!A:D, 4, FALSE) / 4
</f>
        <v>758411.25</v>
      </c>
      <c r="E55" s="46">
        <f>VLOOKUP(VALUE(LEFT(A55, 4)), 'Raw Annual Revenue'!A:E, 5, FALSE) / 4
</f>
        <v>112500.25</v>
      </c>
      <c r="F55" s="46">
        <f>VLOOKUP(VALUE(LEFT(A55, 4)), 'Raw Annual Revenue'!A:F, 6, FALSE) / 4</f>
        <v>121158.75</v>
      </c>
      <c r="G55" s="43"/>
      <c r="H55" s="43"/>
      <c r="I55" s="43"/>
      <c r="J55" s="46">
        <f>VLOOKUP(VALUE(LEFT(A58, 4)), 'Raw Annual Revenue'!A:J, 10, FALSE) / 4</f>
        <v>20890</v>
      </c>
      <c r="K55" s="43"/>
      <c r="L55" s="46">
        <f>VLOOKUP(VALUE(LEFT($A55, 4)), 'Raw Annual Revenue'!$A:L, 12, FALSE) / 4</f>
        <v>66336.75</v>
      </c>
      <c r="M55" s="43"/>
      <c r="N55" s="43"/>
      <c r="O55" s="47">
        <f>VLOOKUP(VALUE(LEFT(A57, 4)), 'Raw Annual Revenue'!A:O, 15, FALSE) / 4
</f>
        <v>7913.25</v>
      </c>
      <c r="P55" s="43"/>
      <c r="Q55" s="43"/>
      <c r="R55" s="43"/>
      <c r="S55" s="43"/>
      <c r="T55" s="43"/>
      <c r="U55" s="43"/>
      <c r="V55" s="45">
        <f>VLOOKUP(VALUE(LEFT($A55, 4)), 'Raw Annual Revenue'!$A:V, 21, FALSE) / 4
</f>
        <v>0</v>
      </c>
      <c r="W55" s="43"/>
      <c r="X55" s="45">
        <f>VLOOKUP(VALUE(LEFT($A57, 4)), 'Raw Annual Revenue'!$A:X, 23, FALSE) / 4
</f>
        <v>0</v>
      </c>
      <c r="Y55" s="43"/>
      <c r="Z55" s="43"/>
      <c r="AA55" s="43"/>
      <c r="AB55" s="43"/>
      <c r="AC55" s="43"/>
    </row>
    <row r="56">
      <c r="A56" s="42" t="s">
        <v>83</v>
      </c>
      <c r="B56" s="43"/>
      <c r="C56" s="46">
        <f>VLOOKUP(VALUE(LEFT(A56, 4)), 'Raw Annual Revenue'!A:C, 3, FALSE) / 4
</f>
        <v>771226.25</v>
      </c>
      <c r="D56" s="46">
        <f>VLOOKUP(VALUE(LEFT(A56, 4)), 'Raw Annual Revenue'!A:D, 4, FALSE) / 4
</f>
        <v>758411.25</v>
      </c>
      <c r="E56" s="46">
        <f>VLOOKUP(VALUE(LEFT(A56, 4)), 'Raw Annual Revenue'!A:E, 5, FALSE) / 4
</f>
        <v>112500.25</v>
      </c>
      <c r="F56" s="46">
        <f>VLOOKUP(VALUE(LEFT(A56, 4)), 'Raw Annual Revenue'!A:F, 6, FALSE) / 4</f>
        <v>121158.75</v>
      </c>
      <c r="G56" s="43"/>
      <c r="H56" s="43"/>
      <c r="I56" s="43"/>
      <c r="J56" s="46">
        <f>VLOOKUP(VALUE(LEFT(A59, 4)), 'Raw Annual Revenue'!A:J, 10, FALSE) / 4</f>
        <v>31180.25</v>
      </c>
      <c r="K56" s="43"/>
      <c r="L56" s="46">
        <f>VLOOKUP(VALUE(LEFT($A56, 4)), 'Raw Annual Revenue'!$A:L, 12, FALSE) / 4</f>
        <v>66336.75</v>
      </c>
      <c r="M56" s="43"/>
      <c r="N56" s="43"/>
      <c r="O56" s="47">
        <f>VLOOKUP(VALUE(LEFT(A58, 4)), 'Raw Annual Revenue'!A:O, 15, FALSE) / 4
</f>
        <v>7913.25</v>
      </c>
      <c r="P56" s="43"/>
      <c r="Q56" s="43"/>
      <c r="R56" s="43"/>
      <c r="S56" s="43"/>
      <c r="T56" s="43"/>
      <c r="U56" s="43"/>
      <c r="V56" s="45">
        <f>VLOOKUP(VALUE(LEFT($A56, 4)), 'Raw Annual Revenue'!$A:V, 21, FALSE) / 4
</f>
        <v>0</v>
      </c>
      <c r="W56" s="43"/>
      <c r="X56" s="45">
        <f>VLOOKUP(VALUE(LEFT($A58, 4)), 'Raw Annual Revenue'!$A:X, 23, FALSE) / 4
</f>
        <v>0</v>
      </c>
      <c r="Y56" s="43"/>
      <c r="Z56" s="43"/>
      <c r="AA56" s="43"/>
      <c r="AB56" s="43"/>
      <c r="AC56" s="43"/>
    </row>
    <row r="57">
      <c r="A57" s="42" t="s">
        <v>84</v>
      </c>
      <c r="B57" s="43"/>
      <c r="C57" s="46">
        <f>VLOOKUP(VALUE(LEFT(A57, 4)), 'Raw Annual Revenue'!A:C, 3, FALSE) / 4
</f>
        <v>771226.25</v>
      </c>
      <c r="D57" s="46">
        <f>VLOOKUP(VALUE(LEFT(A57, 4)), 'Raw Annual Revenue'!A:D, 4, FALSE) / 4
</f>
        <v>758411.25</v>
      </c>
      <c r="E57" s="46">
        <f>VLOOKUP(VALUE(LEFT(A57, 4)), 'Raw Annual Revenue'!A:E, 5, FALSE) / 4
</f>
        <v>112500.25</v>
      </c>
      <c r="F57" s="46">
        <f>VLOOKUP(VALUE(LEFT(A57, 4)), 'Raw Annual Revenue'!A:F, 6, FALSE) / 4</f>
        <v>121158.75</v>
      </c>
      <c r="G57" s="43"/>
      <c r="H57" s="43"/>
      <c r="I57" s="43"/>
      <c r="J57" s="46">
        <f>VLOOKUP(VALUE(LEFT(A60, 4)), 'Raw Annual Revenue'!A:J, 10, FALSE) / 4</f>
        <v>31180.25</v>
      </c>
      <c r="K57" s="43"/>
      <c r="L57" s="46">
        <f>VLOOKUP(VALUE(LEFT($A57, 4)), 'Raw Annual Revenue'!$A:L, 12, FALSE) / 4</f>
        <v>66336.75</v>
      </c>
      <c r="M57" s="43"/>
      <c r="N57" s="43"/>
      <c r="O57" s="47">
        <f>VLOOKUP(VALUE(LEFT(A59, 4)), 'Raw Annual Revenue'!A:O, 15, FALSE) / 4
</f>
        <v>11691.5</v>
      </c>
      <c r="P57" s="43"/>
      <c r="Q57" s="43"/>
      <c r="R57" s="43"/>
      <c r="S57" s="43"/>
      <c r="T57" s="43"/>
      <c r="U57" s="43"/>
      <c r="V57" s="45">
        <f>VLOOKUP(VALUE(LEFT($A57, 4)), 'Raw Annual Revenue'!$A:V, 21, FALSE) / 4
</f>
        <v>0</v>
      </c>
      <c r="W57" s="43"/>
      <c r="X57" s="45">
        <f>VLOOKUP(VALUE(LEFT($A59, 4)), 'Raw Annual Revenue'!$A:X, 23, FALSE) / 4
</f>
        <v>0</v>
      </c>
      <c r="Y57" s="43"/>
      <c r="Z57" s="43"/>
      <c r="AA57" s="43"/>
      <c r="AB57" s="43"/>
      <c r="AC57" s="43"/>
    </row>
    <row r="58">
      <c r="A58" s="42" t="s">
        <v>85</v>
      </c>
      <c r="B58" s="43"/>
      <c r="C58" s="46">
        <f>VLOOKUP(VALUE(LEFT(A58, 4)), 'Raw Annual Revenue'!A:C, 3, FALSE) / 4
</f>
        <v>771226.25</v>
      </c>
      <c r="D58" s="46">
        <f>VLOOKUP(VALUE(LEFT(A58, 4)), 'Raw Annual Revenue'!A:D, 4, FALSE) / 4
</f>
        <v>758411.25</v>
      </c>
      <c r="E58" s="46">
        <f>VLOOKUP(VALUE(LEFT(A58, 4)), 'Raw Annual Revenue'!A:E, 5, FALSE) / 4
</f>
        <v>112500.25</v>
      </c>
      <c r="F58" s="46">
        <f>VLOOKUP(VALUE(LEFT(A58, 4)), 'Raw Annual Revenue'!A:F, 6, FALSE) / 4</f>
        <v>121158.75</v>
      </c>
      <c r="G58" s="43"/>
      <c r="H58" s="43"/>
      <c r="I58" s="43"/>
      <c r="J58" s="46">
        <f>VLOOKUP(VALUE(LEFT(A61, 4)), 'Raw Annual Revenue'!A:J, 10, FALSE) / 4</f>
        <v>31180.25</v>
      </c>
      <c r="K58" s="43"/>
      <c r="L58" s="46">
        <f>VLOOKUP(VALUE(LEFT($A58, 4)), 'Raw Annual Revenue'!$A:L, 12, FALSE) / 4</f>
        <v>66336.75</v>
      </c>
      <c r="M58" s="43"/>
      <c r="N58" s="43"/>
      <c r="O58" s="47">
        <f>VLOOKUP(VALUE(LEFT(A60, 4)), 'Raw Annual Revenue'!A:O, 15, FALSE) / 4
</f>
        <v>11691.5</v>
      </c>
      <c r="P58" s="43"/>
      <c r="Q58" s="43"/>
      <c r="R58" s="43"/>
      <c r="S58" s="43"/>
      <c r="T58" s="43"/>
      <c r="U58" s="43"/>
      <c r="V58" s="45">
        <f>VLOOKUP(VALUE(LEFT($A58, 4)), 'Raw Annual Revenue'!$A:V, 21, FALSE) / 4
</f>
        <v>0</v>
      </c>
      <c r="W58" s="43"/>
      <c r="X58" s="45">
        <f>VLOOKUP(VALUE(LEFT($A60, 4)), 'Raw Annual Revenue'!$A:X, 23, FALSE) / 4
</f>
        <v>0</v>
      </c>
      <c r="Y58" s="43"/>
      <c r="Z58" s="43"/>
      <c r="AA58" s="43"/>
      <c r="AB58" s="43"/>
      <c r="AC58" s="43"/>
    </row>
    <row r="59">
      <c r="A59" s="42" t="s">
        <v>86</v>
      </c>
      <c r="B59" s="43"/>
      <c r="C59" s="46">
        <f>VLOOKUP(VALUE(LEFT(A59, 4)), 'Raw Annual Revenue'!A:C, 3, FALSE) / 4
</f>
        <v>1088902.5</v>
      </c>
      <c r="D59" s="46">
        <f>VLOOKUP(VALUE(LEFT(A59, 4)), 'Raw Annual Revenue'!A:D, 4, FALSE) / 4
</f>
        <v>862252.25</v>
      </c>
      <c r="E59" s="46">
        <f>VLOOKUP(VALUE(LEFT(A59, 4)), 'Raw Annual Revenue'!A:E, 5, FALSE) / 4
</f>
        <v>143460</v>
      </c>
      <c r="F59" s="46">
        <f>VLOOKUP(VALUE(LEFT(A59, 4)), 'Raw Annual Revenue'!A:F, 6, FALSE) / 4</f>
        <v>159265.75</v>
      </c>
      <c r="G59" s="43"/>
      <c r="H59" s="43"/>
      <c r="I59" s="43"/>
      <c r="J59" s="46">
        <f>VLOOKUP(VALUE(LEFT(A62, 4)), 'Raw Annual Revenue'!A:J, 10, FALSE) / 4</f>
        <v>31180.25</v>
      </c>
      <c r="K59" s="43"/>
      <c r="L59" s="46">
        <f>VLOOKUP(VALUE(LEFT($A59, 4)), 'Raw Annual Revenue'!$A:L, 12, FALSE) / 4</f>
        <v>73072.5</v>
      </c>
      <c r="M59" s="43"/>
      <c r="N59" s="43"/>
      <c r="O59" s="47">
        <f>VLOOKUP(VALUE(LEFT(A61, 4)), 'Raw Annual Revenue'!A:O, 15, FALSE) / 4
</f>
        <v>11691.5</v>
      </c>
      <c r="P59" s="43"/>
      <c r="Q59" s="43"/>
      <c r="R59" s="43"/>
      <c r="S59" s="43"/>
      <c r="T59" s="43"/>
      <c r="U59" s="43"/>
      <c r="V59" s="45">
        <f>VLOOKUP(VALUE(LEFT($A59, 4)), 'Raw Annual Revenue'!$A:V, 21, FALSE) / 4
</f>
        <v>0</v>
      </c>
      <c r="W59" s="43"/>
      <c r="X59" s="45">
        <f>VLOOKUP(VALUE(LEFT($A61, 4)), 'Raw Annual Revenue'!$A:X, 23, FALSE) / 4
</f>
        <v>0</v>
      </c>
      <c r="Y59" s="43"/>
      <c r="Z59" s="43"/>
      <c r="AA59" s="43"/>
      <c r="AB59" s="43"/>
      <c r="AC59" s="43"/>
    </row>
    <row r="60">
      <c r="A60" s="42" t="s">
        <v>87</v>
      </c>
      <c r="B60" s="43"/>
      <c r="C60" s="46">
        <f>VLOOKUP(VALUE(LEFT(A60, 4)), 'Raw Annual Revenue'!A:C, 3, FALSE) / 4
</f>
        <v>1088902.5</v>
      </c>
      <c r="D60" s="46">
        <f>VLOOKUP(VALUE(LEFT(A60, 4)), 'Raw Annual Revenue'!A:D, 4, FALSE) / 4
</f>
        <v>862252.25</v>
      </c>
      <c r="E60" s="46">
        <f>VLOOKUP(VALUE(LEFT(A60, 4)), 'Raw Annual Revenue'!A:E, 5, FALSE) / 4
</f>
        <v>143460</v>
      </c>
      <c r="F60" s="46">
        <f>VLOOKUP(VALUE(LEFT(A60, 4)), 'Raw Annual Revenue'!A:F, 6, FALSE) / 4</f>
        <v>159265.75</v>
      </c>
      <c r="G60" s="43"/>
      <c r="H60" s="49">
        <f>VLOOKUP(VALUE(LEFT(A63, 4)), 'Raw Annual Revenue'!A:H, 8, FALSE) / 4</f>
        <v>141421</v>
      </c>
      <c r="I60" s="43"/>
      <c r="J60" s="46">
        <f>VLOOKUP(VALUE(LEFT(A63, 4)), 'Raw Annual Revenue'!A:J, 10, FALSE) / 4</f>
        <v>49149.75</v>
      </c>
      <c r="K60" s="43"/>
      <c r="L60" s="46">
        <f>VLOOKUP(VALUE(LEFT($A60, 4)), 'Raw Annual Revenue'!$A:L, 12, FALSE) / 4</f>
        <v>73072.5</v>
      </c>
      <c r="M60" s="43"/>
      <c r="N60" s="43"/>
      <c r="O60" s="47">
        <f>VLOOKUP(VALUE(LEFT(A62, 4)), 'Raw Annual Revenue'!A:O, 15, FALSE) / 4
</f>
        <v>11691.5</v>
      </c>
      <c r="P60" s="43"/>
      <c r="Q60" s="43"/>
      <c r="R60" s="43"/>
      <c r="S60" s="43"/>
      <c r="T60" s="43"/>
      <c r="U60" s="43"/>
      <c r="V60" s="45">
        <f>VLOOKUP(VALUE(LEFT($A60, 4)), 'Raw Annual Revenue'!$A:V, 21, FALSE) / 4
</f>
        <v>0</v>
      </c>
      <c r="W60" s="43"/>
      <c r="X60" s="45">
        <f>VLOOKUP(VALUE(LEFT($A62, 4)), 'Raw Annual Revenue'!$A:X, 23, FALSE) / 4
</f>
        <v>0</v>
      </c>
      <c r="Y60" s="43"/>
      <c r="Z60" s="43"/>
      <c r="AA60" s="43"/>
      <c r="AB60" s="43"/>
      <c r="AC60" s="43"/>
    </row>
    <row r="61">
      <c r="A61" s="42" t="s">
        <v>88</v>
      </c>
      <c r="B61" s="43"/>
      <c r="C61" s="46">
        <f>VLOOKUP(VALUE(LEFT(A61, 4)), 'Raw Annual Revenue'!A:C, 3, FALSE) / 4
</f>
        <v>1088902.5</v>
      </c>
      <c r="D61" s="46">
        <f>VLOOKUP(VALUE(LEFT(A61, 4)), 'Raw Annual Revenue'!A:D, 4, FALSE) / 4
</f>
        <v>862252.25</v>
      </c>
      <c r="E61" s="46">
        <f>VLOOKUP(VALUE(LEFT(A61, 4)), 'Raw Annual Revenue'!A:E, 5, FALSE) / 4
</f>
        <v>143460</v>
      </c>
      <c r="F61" s="46">
        <f>VLOOKUP(VALUE(LEFT(A61, 4)), 'Raw Annual Revenue'!A:F, 6, FALSE) / 4</f>
        <v>159265.75</v>
      </c>
      <c r="G61" s="43"/>
      <c r="H61" s="46">
        <f>VLOOKUP(VALUE(LEFT(A64, 4)), 'Raw Annual Revenue'!A:H, 8, FALSE) / 4</f>
        <v>141421</v>
      </c>
      <c r="I61" s="43"/>
      <c r="J61" s="46">
        <f>VLOOKUP(VALUE(LEFT(A64, 4)), 'Raw Annual Revenue'!A:J, 10, FALSE) / 4</f>
        <v>49149.75</v>
      </c>
      <c r="K61" s="43"/>
      <c r="L61" s="46">
        <f>VLOOKUP(VALUE(LEFT($A61, 4)), 'Raw Annual Revenue'!$A:L, 12, FALSE) / 4</f>
        <v>73072.5</v>
      </c>
      <c r="M61" s="43"/>
      <c r="N61" s="43"/>
      <c r="O61" s="47">
        <f>VLOOKUP(VALUE(LEFT(A63, 4)), 'Raw Annual Revenue'!A:O, 15, FALSE) / 4
</f>
        <v>14692.5</v>
      </c>
      <c r="P61" s="43"/>
      <c r="Q61" s="43"/>
      <c r="R61" s="43"/>
      <c r="S61" s="43"/>
      <c r="T61" s="43"/>
      <c r="U61" s="43"/>
      <c r="V61" s="45">
        <f>VLOOKUP(VALUE(LEFT($A61, 4)), 'Raw Annual Revenue'!$A:V, 21, FALSE) / 4
</f>
        <v>0</v>
      </c>
      <c r="W61" s="43"/>
      <c r="X61" s="45">
        <f>VLOOKUP(VALUE(LEFT($A63, 4)), 'Raw Annual Revenue'!$A:X, 23, FALSE) / 4
</f>
        <v>0</v>
      </c>
      <c r="Y61" s="43"/>
      <c r="Z61" s="43"/>
      <c r="AA61" s="43"/>
      <c r="AB61" s="43"/>
      <c r="AC61" s="43"/>
    </row>
    <row r="62">
      <c r="A62" s="42" t="s">
        <v>89</v>
      </c>
      <c r="B62" s="43"/>
      <c r="C62" s="46">
        <f>VLOOKUP(VALUE(LEFT(A62, 4)), 'Raw Annual Revenue'!A:C, 3, FALSE) / 4
</f>
        <v>1088902.5</v>
      </c>
      <c r="D62" s="46">
        <f>VLOOKUP(VALUE(LEFT(A62, 4)), 'Raw Annual Revenue'!A:D, 4, FALSE) / 4
</f>
        <v>862252.25</v>
      </c>
      <c r="E62" s="46">
        <f>VLOOKUP(VALUE(LEFT(A62, 4)), 'Raw Annual Revenue'!A:E, 5, FALSE) / 4
</f>
        <v>143460</v>
      </c>
      <c r="F62" s="46">
        <f>VLOOKUP(VALUE(LEFT(A62, 4)), 'Raw Annual Revenue'!A:F, 6, FALSE) / 4</f>
        <v>159265.75</v>
      </c>
      <c r="G62" s="43"/>
      <c r="H62" s="46">
        <f>VLOOKUP(VALUE(LEFT(A65, 4)), 'Raw Annual Revenue'!A:H, 8, FALSE) / 4</f>
        <v>141421</v>
      </c>
      <c r="I62" s="43"/>
      <c r="J62" s="46">
        <f>VLOOKUP(VALUE(LEFT(A65, 4)), 'Raw Annual Revenue'!A:J, 10, FALSE) / 4</f>
        <v>49149.75</v>
      </c>
      <c r="K62" s="43"/>
      <c r="L62" s="46">
        <f>VLOOKUP(VALUE(LEFT($A62, 4)), 'Raw Annual Revenue'!$A:L, 12, FALSE) / 4</f>
        <v>73072.5</v>
      </c>
      <c r="M62" s="43"/>
      <c r="N62" s="43"/>
      <c r="O62" s="47">
        <f>VLOOKUP(VALUE(LEFT(A64, 4)), 'Raw Annual Revenue'!A:O, 15, FALSE) / 4
</f>
        <v>14692.5</v>
      </c>
      <c r="P62" s="43"/>
      <c r="Q62" s="43"/>
      <c r="R62" s="43"/>
      <c r="S62" s="43"/>
      <c r="T62" s="43"/>
      <c r="U62" s="43"/>
      <c r="V62" s="45">
        <f>VLOOKUP(VALUE(LEFT($A62, 4)), 'Raw Annual Revenue'!$A:V, 21, FALSE) / 4
</f>
        <v>0</v>
      </c>
      <c r="W62" s="43"/>
      <c r="X62" s="45">
        <f>VLOOKUP(VALUE(LEFT($A64, 4)), 'Raw Annual Revenue'!$A:X, 23, FALSE) / 4
</f>
        <v>0</v>
      </c>
      <c r="Y62" s="43"/>
      <c r="Z62" s="43"/>
      <c r="AA62" s="43"/>
      <c r="AB62" s="43"/>
      <c r="AC62" s="43"/>
    </row>
    <row r="63">
      <c r="A63" s="42" t="s">
        <v>90</v>
      </c>
      <c r="B63" s="43"/>
      <c r="C63" s="46">
        <f>VLOOKUP(VALUE(LEFT(A63, 4)), 'Raw Annual Revenue'!A:C, 3, FALSE) / 4
</f>
        <v>1315239</v>
      </c>
      <c r="D63" s="46">
        <f>VLOOKUP(VALUE(LEFT(A63, 4)), 'Raw Annual Revenue'!A:D, 4, FALSE) / 4
</f>
        <v>1007586.75</v>
      </c>
      <c r="E63" s="46">
        <f>VLOOKUP(VALUE(LEFT(A63, 4)), 'Raw Annual Revenue'!A:E, 5, FALSE) / 4
</f>
        <v>170483</v>
      </c>
      <c r="F63" s="46">
        <f>VLOOKUP(VALUE(LEFT(A63, 4)), 'Raw Annual Revenue'!A:F, 6, FALSE) / 4</f>
        <v>190750</v>
      </c>
      <c r="G63" s="46"/>
      <c r="H63" s="46">
        <f>VLOOKUP(VALUE(LEFT(A66, 4)), 'Raw Annual Revenue'!A:H, 8, FALSE) / 4</f>
        <v>141421</v>
      </c>
      <c r="I63" s="43"/>
      <c r="J63" s="46">
        <f>VLOOKUP(VALUE(LEFT(A66, 4)), 'Raw Annual Revenue'!A:J, 10, FALSE) / 4</f>
        <v>49149.75</v>
      </c>
      <c r="K63" s="43"/>
      <c r="L63" s="46">
        <f>VLOOKUP(VALUE(LEFT($A63, 4)), 'Raw Annual Revenue'!$A:L, 12, FALSE) / 4</f>
        <v>83659.5</v>
      </c>
      <c r="M63" s="43"/>
      <c r="N63" s="43"/>
      <c r="O63" s="47">
        <f>VLOOKUP(VALUE(LEFT(A65, 4)), 'Raw Annual Revenue'!A:O, 15, FALSE) / 4
</f>
        <v>14692.5</v>
      </c>
      <c r="P63" s="43"/>
      <c r="Q63" s="43"/>
      <c r="R63" s="43"/>
      <c r="S63" s="46">
        <f>VLOOKUP(VALUE(LEFT(A63, 4)), 'Raw Annual Revenue'!A:S, 18, FALSE) / 4</f>
        <v>0</v>
      </c>
      <c r="T63" s="43"/>
      <c r="U63" s="43"/>
      <c r="V63" s="45">
        <f>VLOOKUP(VALUE(LEFT($A63, 4)), 'Raw Annual Revenue'!$A:V, 21, FALSE) / 4
</f>
        <v>0</v>
      </c>
      <c r="W63" s="43"/>
      <c r="X63" s="45">
        <f>VLOOKUP(VALUE(LEFT($A65, 4)), 'Raw Annual Revenue'!$A:X, 23, FALSE) / 4
</f>
        <v>0</v>
      </c>
      <c r="Y63" s="43"/>
      <c r="Z63" s="43"/>
      <c r="AA63" s="43"/>
      <c r="AB63" s="43"/>
      <c r="AC63" s="43"/>
    </row>
    <row r="64">
      <c r="A64" s="42" t="s">
        <v>91</v>
      </c>
      <c r="B64" s="43"/>
      <c r="C64" s="46">
        <f>VLOOKUP(VALUE(LEFT(A64, 4)), 'Raw Annual Revenue'!A:C, 3, FALSE) / 4
</f>
        <v>1315239</v>
      </c>
      <c r="D64" s="46">
        <f>VLOOKUP(VALUE(LEFT(A64, 4)), 'Raw Annual Revenue'!A:D, 4, FALSE) / 4
</f>
        <v>1007586.75</v>
      </c>
      <c r="E64" s="46">
        <f>VLOOKUP(VALUE(LEFT(A64, 4)), 'Raw Annual Revenue'!A:E, 5, FALSE) / 4
</f>
        <v>170483</v>
      </c>
      <c r="F64" s="46">
        <f>VLOOKUP(VALUE(LEFT(A64, 4)), 'Raw Annual Revenue'!A:F, 6, FALSE) / 4</f>
        <v>190750</v>
      </c>
      <c r="G64" s="43"/>
      <c r="H64" s="46">
        <f>VLOOKUP(VALUE(LEFT(A67, 4)), 'Raw Annual Revenue'!A:H, 8, FALSE) / 4</f>
        <v>153515.75</v>
      </c>
      <c r="I64" s="43"/>
      <c r="J64" s="46">
        <f>VLOOKUP(VALUE(LEFT(A67, 4)), 'Raw Annual Revenue'!A:J, 10, FALSE) / 4</f>
        <v>57205.5</v>
      </c>
      <c r="K64" s="43"/>
      <c r="L64" s="46">
        <f>VLOOKUP(VALUE(LEFT($A64, 4)), 'Raw Annual Revenue'!$A:L, 12, FALSE) / 4</f>
        <v>83659.5</v>
      </c>
      <c r="M64" s="43"/>
      <c r="N64" s="43"/>
      <c r="O64" s="47">
        <f>VLOOKUP(VALUE(LEFT(A66, 4)), 'Raw Annual Revenue'!A:O, 15, FALSE) / 4
</f>
        <v>14692.5</v>
      </c>
      <c r="P64" s="43"/>
      <c r="Q64" s="43"/>
      <c r="R64" s="43"/>
      <c r="S64" s="46">
        <f>VLOOKUP(VALUE(LEFT(A64, 4)), 'Raw Annual Revenue'!A:S, 18, FALSE) / 4</f>
        <v>0</v>
      </c>
      <c r="T64" s="43"/>
      <c r="U64" s="43"/>
      <c r="V64" s="45">
        <f>VLOOKUP(VALUE(LEFT($A64, 4)), 'Raw Annual Revenue'!$A:V, 21, FALSE) / 4
</f>
        <v>0</v>
      </c>
      <c r="W64" s="43"/>
      <c r="X64" s="45">
        <f>VLOOKUP(VALUE(LEFT($A66, 4)), 'Raw Annual Revenue'!$A:X, 23, FALSE) / 4
</f>
        <v>0</v>
      </c>
      <c r="Y64" s="43"/>
      <c r="Z64" s="43"/>
      <c r="AA64" s="43"/>
      <c r="AB64" s="43"/>
      <c r="AC64" s="43"/>
    </row>
    <row r="65">
      <c r="A65" s="42" t="s">
        <v>92</v>
      </c>
      <c r="B65" s="43"/>
      <c r="C65" s="46">
        <f>VLOOKUP(VALUE(LEFT(A65, 4)), 'Raw Annual Revenue'!A:C, 3, FALSE) / 4
</f>
        <v>1315239</v>
      </c>
      <c r="D65" s="46">
        <f>VLOOKUP(VALUE(LEFT(A65, 4)), 'Raw Annual Revenue'!A:D, 4, FALSE) / 4
</f>
        <v>1007586.75</v>
      </c>
      <c r="E65" s="46">
        <f>VLOOKUP(VALUE(LEFT(A65, 4)), 'Raw Annual Revenue'!A:E, 5, FALSE) / 4
</f>
        <v>170483</v>
      </c>
      <c r="F65" s="46">
        <f>VLOOKUP(VALUE(LEFT(A65, 4)), 'Raw Annual Revenue'!A:F, 6, FALSE) / 4</f>
        <v>190750</v>
      </c>
      <c r="G65" s="43"/>
      <c r="H65" s="46">
        <f>VLOOKUP(VALUE(LEFT(A68, 4)), 'Raw Annual Revenue'!A:H, 8, FALSE) / 4</f>
        <v>153515.75</v>
      </c>
      <c r="I65" s="43"/>
      <c r="J65" s="46">
        <f>VLOOKUP(VALUE(LEFT(A68, 4)), 'Raw Annual Revenue'!A:J, 10, FALSE) / 4</f>
        <v>57205.5</v>
      </c>
      <c r="K65" s="43"/>
      <c r="L65" s="46">
        <f>VLOOKUP(VALUE(LEFT($A65, 4)), 'Raw Annual Revenue'!$A:L, 12, FALSE) / 4</f>
        <v>83659.5</v>
      </c>
      <c r="M65" s="43"/>
      <c r="N65" s="43"/>
      <c r="O65" s="47">
        <f>VLOOKUP(VALUE(LEFT(A67, 4)), 'Raw Annual Revenue'!A:O, 15, FALSE) / 4
</f>
        <v>17278.25</v>
      </c>
      <c r="P65" s="43"/>
      <c r="Q65" s="43"/>
      <c r="R65" s="43"/>
      <c r="S65" s="46">
        <f>VLOOKUP(VALUE(LEFT(A65, 4)), 'Raw Annual Revenue'!A:S, 18, FALSE) / 4</f>
        <v>0</v>
      </c>
      <c r="T65" s="43"/>
      <c r="U65" s="43"/>
      <c r="V65" s="45">
        <f>VLOOKUP(VALUE(LEFT($A65, 4)), 'Raw Annual Revenue'!$A:V, 21, FALSE) / 4
</f>
        <v>0</v>
      </c>
      <c r="W65" s="43"/>
      <c r="X65" s="45">
        <f>VLOOKUP(VALUE(LEFT($A67, 4)), 'Raw Annual Revenue'!$A:X, 23, FALSE) / 4
</f>
        <v>0</v>
      </c>
      <c r="Y65" s="43"/>
      <c r="Z65" s="43"/>
      <c r="AA65" s="43"/>
      <c r="AB65" s="43"/>
      <c r="AC65" s="43"/>
    </row>
    <row r="66">
      <c r="A66" s="42" t="s">
        <v>93</v>
      </c>
      <c r="B66" s="43"/>
      <c r="C66" s="46">
        <f>VLOOKUP(VALUE(LEFT(A66, 4)), 'Raw Annual Revenue'!A:C, 3, FALSE) / 4
</f>
        <v>1315239</v>
      </c>
      <c r="D66" s="46">
        <f>VLOOKUP(VALUE(LEFT(A66, 4)), 'Raw Annual Revenue'!A:D, 4, FALSE) / 4
</f>
        <v>1007586.75</v>
      </c>
      <c r="E66" s="46">
        <f>VLOOKUP(VALUE(LEFT(A66, 4)), 'Raw Annual Revenue'!A:E, 5, FALSE) / 4
</f>
        <v>170483</v>
      </c>
      <c r="F66" s="46">
        <f>VLOOKUP(VALUE(LEFT(A66, 4)), 'Raw Annual Revenue'!A:F, 6, FALSE) / 4</f>
        <v>190750</v>
      </c>
      <c r="G66" s="43"/>
      <c r="H66" s="46">
        <f>VLOOKUP(VALUE(LEFT(A69, 4)), 'Raw Annual Revenue'!A:H, 8, FALSE) / 4</f>
        <v>153515.75</v>
      </c>
      <c r="I66" s="43"/>
      <c r="J66" s="46">
        <f>VLOOKUP(VALUE(LEFT(A69, 4)), 'Raw Annual Revenue'!A:J, 10, FALSE) / 4</f>
        <v>57205.5</v>
      </c>
      <c r="K66" s="43"/>
      <c r="L66" s="46">
        <f>VLOOKUP(VALUE(LEFT($A66, 4)), 'Raw Annual Revenue'!$A:L, 12, FALSE) / 4</f>
        <v>83659.5</v>
      </c>
      <c r="M66" s="43"/>
      <c r="N66" s="43"/>
      <c r="O66" s="47">
        <f>VLOOKUP(VALUE(LEFT(A68, 4)), 'Raw Annual Revenue'!A:O, 15, FALSE) / 4
</f>
        <v>17278.25</v>
      </c>
      <c r="P66" s="43"/>
      <c r="Q66" s="43"/>
      <c r="R66" s="43"/>
      <c r="S66" s="46">
        <f>VLOOKUP(VALUE(LEFT(A66, 4)), 'Raw Annual Revenue'!A:S, 18, FALSE) / 4</f>
        <v>0</v>
      </c>
      <c r="T66" s="43"/>
      <c r="U66" s="43"/>
      <c r="V66" s="45">
        <f>VLOOKUP(VALUE(LEFT($A66, 4)), 'Raw Annual Revenue'!$A:V, 21, FALSE) / 4
</f>
        <v>0</v>
      </c>
      <c r="W66" s="43"/>
      <c r="X66" s="45">
        <f>VLOOKUP(VALUE(LEFT($A68, 4)), 'Raw Annual Revenue'!$A:X, 23, FALSE) / 4
</f>
        <v>0</v>
      </c>
      <c r="Y66" s="43"/>
      <c r="Z66" s="43"/>
      <c r="AA66" s="43"/>
      <c r="AB66" s="43"/>
      <c r="AC66" s="43"/>
    </row>
    <row r="67">
      <c r="A67" s="42" t="s">
        <v>94</v>
      </c>
      <c r="B67" s="43"/>
      <c r="C67" s="46">
        <f>VLOOKUP(VALUE(LEFT(A67, 4)), 'Raw Annual Revenue'!A:C, 3, FALSE) / 4
</f>
        <v>1698326.5</v>
      </c>
      <c r="D67" s="46">
        <f>VLOOKUP(VALUE(LEFT(A67, 4)), 'Raw Annual Revenue'!A:D, 4, FALSE) / 4
</f>
        <v>1192814.75</v>
      </c>
      <c r="E67" s="46">
        <f>VLOOKUP(VALUE(LEFT(A67, 4)), 'Raw Annual Revenue'!A:E, 5, FALSE) / 4
</f>
        <v>227364</v>
      </c>
      <c r="F67" s="46">
        <f>VLOOKUP(VALUE(LEFT(A67, 4)), 'Raw Annual Revenue'!A:F, 6, FALSE) / 4</f>
        <v>236250</v>
      </c>
      <c r="G67" s="43"/>
      <c r="H67" s="46">
        <f>VLOOKUP(VALUE(LEFT(A70, 4)), 'Raw Annual Revenue'!A:H, 8, FALSE) / 4</f>
        <v>153515.75</v>
      </c>
      <c r="I67" s="43"/>
      <c r="J67" s="46">
        <f>VLOOKUP(VALUE(LEFT(A70, 4)), 'Raw Annual Revenue'!A:J, 10, FALSE) / 4</f>
        <v>57205.5</v>
      </c>
      <c r="K67" s="43"/>
      <c r="L67" s="46">
        <f>VLOOKUP(VALUE(LEFT($A67, 4)), 'Raw Annual Revenue'!$A:L, 12, FALSE) / 4</f>
        <v>95841</v>
      </c>
      <c r="M67" s="43"/>
      <c r="N67" s="43"/>
      <c r="O67" s="47">
        <f>VLOOKUP(VALUE(LEFT(A69, 4)), 'Raw Annual Revenue'!A:O, 15, FALSE) / 4
</f>
        <v>17278.25</v>
      </c>
      <c r="P67" s="43"/>
      <c r="Q67" s="43"/>
      <c r="R67" s="43"/>
      <c r="S67" s="46">
        <f>VLOOKUP(VALUE(LEFT(A67, 4)), 'Raw Annual Revenue'!A:S, 18, FALSE) / 4</f>
        <v>0</v>
      </c>
      <c r="T67" s="43"/>
      <c r="U67" s="43"/>
      <c r="V67" s="45">
        <f>VLOOKUP(VALUE(LEFT($A67, 4)), 'Raw Annual Revenue'!$A:V, 21, FALSE) / 4
</f>
        <v>0</v>
      </c>
      <c r="W67" s="43"/>
      <c r="X67" s="45">
        <f>VLOOKUP(VALUE(LEFT($A69, 4)), 'Raw Annual Revenue'!$A:X, 23, FALSE) / 4
</f>
        <v>0</v>
      </c>
      <c r="Y67" s="46">
        <f>VLOOKUP(VALUE(LEFT($A67, 4)), 'Raw Annual Revenue'!$A:Y, 24, FALSE) / 4</f>
        <v>450700</v>
      </c>
      <c r="Z67" s="46"/>
      <c r="AA67" s="46"/>
      <c r="AB67" s="46"/>
      <c r="AC67" s="46"/>
    </row>
    <row r="68">
      <c r="A68" s="42" t="s">
        <v>95</v>
      </c>
      <c r="B68" s="43"/>
      <c r="C68" s="46">
        <f>VLOOKUP(VALUE(LEFT(A68, 4)), 'Raw Annual Revenue'!A:C, 3, FALSE) / 4
</f>
        <v>1698326.5</v>
      </c>
      <c r="D68" s="46">
        <f>VLOOKUP(VALUE(LEFT(A68, 4)), 'Raw Annual Revenue'!A:D, 4, FALSE) / 4
</f>
        <v>1192814.75</v>
      </c>
      <c r="E68" s="46">
        <f>VLOOKUP(VALUE(LEFT(A68, 4)), 'Raw Annual Revenue'!A:E, 5, FALSE) / 4
</f>
        <v>227364</v>
      </c>
      <c r="F68" s="46">
        <f>VLOOKUP(VALUE(LEFT(A68, 4)), 'Raw Annual Revenue'!A:F, 6, FALSE) / 4</f>
        <v>236250</v>
      </c>
      <c r="G68" s="43"/>
      <c r="H68" s="46">
        <f>VLOOKUP(VALUE(LEFT(A71, 4)), 'Raw Annual Revenue'!A:H, 8, FALSE) / 4</f>
        <v>165088.5</v>
      </c>
      <c r="I68" s="43"/>
      <c r="J68" s="46">
        <f>VLOOKUP(VALUE(LEFT(A71, 4)), 'Raw Annual Revenue'!A:J, 10, FALSE) / 4</f>
        <v>64135.75</v>
      </c>
      <c r="K68" s="43"/>
      <c r="L68" s="46">
        <f>VLOOKUP(VALUE(LEFT($A68, 4)), 'Raw Annual Revenue'!$A:L, 12, FALSE) / 4</f>
        <v>95841</v>
      </c>
      <c r="M68" s="43"/>
      <c r="N68" s="43"/>
      <c r="O68" s="47">
        <f>VLOOKUP(VALUE(LEFT(A70, 4)), 'Raw Annual Revenue'!A:O, 15, FALSE) / 4
</f>
        <v>17278.25</v>
      </c>
      <c r="P68" s="43"/>
      <c r="Q68" s="43"/>
      <c r="R68" s="43"/>
      <c r="S68" s="46">
        <f>VLOOKUP(VALUE(LEFT(A68, 4)), 'Raw Annual Revenue'!A:S, 18, FALSE) / 4</f>
        <v>0</v>
      </c>
      <c r="T68" s="43"/>
      <c r="U68" s="43"/>
      <c r="V68" s="45">
        <f>VLOOKUP(VALUE(LEFT($A68, 4)), 'Raw Annual Revenue'!$A:V, 21, FALSE) / 4
</f>
        <v>0</v>
      </c>
      <c r="W68" s="43"/>
      <c r="X68" s="45">
        <f>VLOOKUP(VALUE(LEFT($A70, 4)), 'Raw Annual Revenue'!$A:X, 23, FALSE) / 4
</f>
        <v>0</v>
      </c>
      <c r="Y68" s="46">
        <f>VLOOKUP(VALUE(LEFT(A68, 4)), 'Raw Annual Revenue'!A:Y, 24, FALSE) / 4</f>
        <v>450700</v>
      </c>
      <c r="Z68" s="46"/>
      <c r="AA68" s="46"/>
      <c r="AB68" s="46"/>
      <c r="AC68" s="46"/>
    </row>
    <row r="69">
      <c r="A69" s="42" t="s">
        <v>96</v>
      </c>
      <c r="B69" s="43"/>
      <c r="C69" s="46">
        <f>VLOOKUP(VALUE(LEFT(A69, 4)), 'Raw Annual Revenue'!A:C, 3, FALSE) / 4
</f>
        <v>1698326.5</v>
      </c>
      <c r="D69" s="46">
        <f>VLOOKUP(VALUE(LEFT(A69, 4)), 'Raw Annual Revenue'!A:D, 4, FALSE) / 4
</f>
        <v>1192814.75</v>
      </c>
      <c r="E69" s="46">
        <f>VLOOKUP(VALUE(LEFT(A69, 4)), 'Raw Annual Revenue'!A:E, 5, FALSE) / 4
</f>
        <v>227364</v>
      </c>
      <c r="F69" s="46">
        <f>VLOOKUP(VALUE(LEFT(A69, 4)), 'Raw Annual Revenue'!A:F, 6, FALSE) / 4</f>
        <v>236250</v>
      </c>
      <c r="G69" s="43"/>
      <c r="H69" s="46">
        <f>VLOOKUP(VALUE(LEFT(A72, 4)), 'Raw Annual Revenue'!A:H, 8, FALSE) / 4</f>
        <v>165088.5</v>
      </c>
      <c r="I69" s="43"/>
      <c r="J69" s="46">
        <f>VLOOKUP(VALUE(LEFT(A72, 4)), 'Raw Annual Revenue'!A:J, 10, FALSE) / 4</f>
        <v>64135.75</v>
      </c>
      <c r="K69" s="43"/>
      <c r="L69" s="46">
        <f>VLOOKUP(VALUE(LEFT($A69, 4)), 'Raw Annual Revenue'!$A:L, 12, FALSE) / 4</f>
        <v>95841</v>
      </c>
      <c r="M69" s="43"/>
      <c r="N69" s="43"/>
      <c r="O69" s="47">
        <f>VLOOKUP(VALUE(LEFT(A71, 4)), 'Raw Annual Revenue'!A:O, 15, FALSE) / 4
</f>
        <v>23230.75</v>
      </c>
      <c r="P69" s="43"/>
      <c r="Q69" s="43"/>
      <c r="R69" s="43"/>
      <c r="S69" s="46">
        <f>VLOOKUP(VALUE(LEFT(A69, 4)), 'Raw Annual Revenue'!A:S, 18, FALSE) / 4</f>
        <v>0</v>
      </c>
      <c r="T69" s="43"/>
      <c r="U69" s="43"/>
      <c r="V69" s="45">
        <f>VLOOKUP(VALUE(LEFT($A69, 4)), 'Raw Annual Revenue'!$A:V, 21, FALSE) / 4
</f>
        <v>0</v>
      </c>
      <c r="W69" s="43"/>
      <c r="X69" s="45">
        <f>VLOOKUP(VALUE(LEFT($A71, 4)), 'Raw Annual Revenue'!$A:X, 23, FALSE) / 4
</f>
        <v>0</v>
      </c>
      <c r="Y69" s="46">
        <f>VLOOKUP(VALUE(LEFT(A69, 4)), 'Raw Annual Revenue'!A:Y, 24, FALSE) / 4</f>
        <v>450700</v>
      </c>
      <c r="Z69" s="46"/>
      <c r="AA69" s="46"/>
      <c r="AB69" s="46"/>
      <c r="AC69" s="46"/>
    </row>
    <row r="70">
      <c r="A70" s="42" t="s">
        <v>97</v>
      </c>
      <c r="B70" s="43"/>
      <c r="C70" s="46">
        <f>VLOOKUP(VALUE(LEFT(A70, 4)), 'Raw Annual Revenue'!A:C, 3, FALSE) / 4
</f>
        <v>1698326.5</v>
      </c>
      <c r="D70" s="46">
        <f>VLOOKUP(VALUE(LEFT(A70, 4)), 'Raw Annual Revenue'!A:D, 4, FALSE) / 4
</f>
        <v>1192814.75</v>
      </c>
      <c r="E70" s="46">
        <f>VLOOKUP(VALUE(LEFT(A70, 4)), 'Raw Annual Revenue'!A:E, 5, FALSE) / 4
</f>
        <v>227364</v>
      </c>
      <c r="F70" s="46">
        <f>VLOOKUP(VALUE(LEFT(A70, 4)), 'Raw Annual Revenue'!A:F, 6, FALSE) / 4</f>
        <v>236250</v>
      </c>
      <c r="G70" s="43"/>
      <c r="H70" s="46">
        <f>VLOOKUP(VALUE(LEFT(A73, 4)), 'Raw Annual Revenue'!A:H, 8, FALSE) / 4</f>
        <v>165088.5</v>
      </c>
      <c r="I70" s="43"/>
      <c r="J70" s="46">
        <f>VLOOKUP(VALUE(LEFT(A73, 4)), 'Raw Annual Revenue'!A:J, 10, FALSE) / 4</f>
        <v>64135.75</v>
      </c>
      <c r="K70" s="43"/>
      <c r="L70" s="46">
        <f>VLOOKUP(VALUE(LEFT($A70, 4)), 'Raw Annual Revenue'!$A:L, 12, FALSE) / 4</f>
        <v>95841</v>
      </c>
      <c r="M70" s="43"/>
      <c r="N70" s="43"/>
      <c r="O70" s="47">
        <f>VLOOKUP(VALUE(LEFT(A72, 4)), 'Raw Annual Revenue'!A:O, 15, FALSE) / 4
</f>
        <v>23230.75</v>
      </c>
      <c r="P70" s="43"/>
      <c r="Q70" s="43"/>
      <c r="R70" s="43"/>
      <c r="S70" s="46">
        <f>VLOOKUP(VALUE(LEFT(A70, 4)), 'Raw Annual Revenue'!A:S, 18, FALSE) / 4</f>
        <v>0</v>
      </c>
      <c r="T70" s="43"/>
      <c r="U70" s="43"/>
      <c r="V70" s="45">
        <f>VLOOKUP(VALUE(LEFT($A70, 4)), 'Raw Annual Revenue'!$A:V, 21, FALSE) / 4
</f>
        <v>0</v>
      </c>
      <c r="W70" s="43"/>
      <c r="X70" s="45">
        <f>VLOOKUP(VALUE(LEFT($A72, 4)), 'Raw Annual Revenue'!$A:X, 23, FALSE) / 4
</f>
        <v>0</v>
      </c>
      <c r="Y70" s="46">
        <f>VLOOKUP(VALUE(LEFT(A70, 4)), 'Raw Annual Revenue'!A:Y, 24, FALSE) / 4</f>
        <v>450700</v>
      </c>
      <c r="Z70" s="46"/>
      <c r="AA70" s="46"/>
      <c r="AB70" s="46"/>
      <c r="AC70" s="46"/>
    </row>
    <row r="71">
      <c r="A71" s="42" t="s">
        <v>98</v>
      </c>
      <c r="B71" s="43"/>
      <c r="C71" s="46">
        <f>VLOOKUP(VALUE(LEFT(A71, 4)), 'Raw Annual Revenue'!A:C, 3, FALSE) / 4
</f>
        <v>2110492.75</v>
      </c>
      <c r="D71" s="46">
        <f>VLOOKUP(VALUE(LEFT(A71, 4)), 'Raw Annual Revenue'!A:D, 4, FALSE) / 4
</f>
        <v>1440871.25</v>
      </c>
      <c r="E71" s="46">
        <f>VLOOKUP(VALUE(LEFT(A71, 4)), 'Raw Annual Revenue'!A:E, 5, FALSE) / 4
</f>
        <v>300168.25</v>
      </c>
      <c r="F71" s="46">
        <f>VLOOKUP(VALUE(LEFT(A71, 4)), 'Raw Annual Revenue'!A:F, 6, FALSE) / 4</f>
        <v>311500</v>
      </c>
      <c r="G71" s="46">
        <f>VLOOKUP(VALUE(LEFT(A71, 4)), 'Raw Annual Revenue'!A:G, 7, FALSE) / 4</f>
        <v>93890</v>
      </c>
      <c r="H71" s="46">
        <f>VLOOKUP(VALUE(LEFT(A74, 4)), 'Raw Annual Revenue'!A:H, 8, FALSE) / 4</f>
        <v>165088.5</v>
      </c>
      <c r="I71" s="43"/>
      <c r="J71" s="46">
        <f>VLOOKUP(VALUE(LEFT(A74, 4)), 'Raw Annual Revenue'!A:J, 10, FALSE) / 4</f>
        <v>64135.75</v>
      </c>
      <c r="K71" s="43"/>
      <c r="L71" s="46">
        <f>VLOOKUP(VALUE(LEFT($A71, 4)), 'Raw Annual Revenue'!$A:L, 12, FALSE) / 4</f>
        <v>117024.25</v>
      </c>
      <c r="M71" s="43"/>
      <c r="N71" s="43"/>
      <c r="O71" s="47">
        <f>VLOOKUP(VALUE(LEFT(A73, 4)), 'Raw Annual Revenue'!A:O, 15, FALSE) / 4
</f>
        <v>23230.75</v>
      </c>
      <c r="P71" s="43"/>
      <c r="Q71" s="43"/>
      <c r="R71" s="43"/>
      <c r="S71" s="46">
        <f>VLOOKUP(VALUE(LEFT(A71, 4)), 'Raw Annual Revenue'!A:S, 18, FALSE) / 4</f>
        <v>0</v>
      </c>
      <c r="T71" s="43"/>
      <c r="U71" s="43"/>
      <c r="V71" s="45">
        <f>VLOOKUP(VALUE(LEFT($A71, 4)), 'Raw Annual Revenue'!$A:V, 21, FALSE) / 4
</f>
        <v>0</v>
      </c>
      <c r="W71" s="43"/>
      <c r="X71" s="45">
        <f>VLOOKUP(VALUE(LEFT($A73, 4)), 'Raw Annual Revenue'!$A:X, 23, FALSE) / 4
</f>
        <v>0</v>
      </c>
      <c r="Y71" s="46">
        <f>VLOOKUP(VALUE(LEFT(A71, 4)), 'Raw Annual Revenue'!A:Y, 24, FALSE) / 4</f>
        <v>519982</v>
      </c>
      <c r="Z71" s="46"/>
      <c r="AA71" s="46">
        <f>VLOOKUP(VALUE(LEFT($A71, 4)), 'Raw Annual Revenue'!$A:AA, 26, FALSE) / 4</f>
        <v>0</v>
      </c>
      <c r="AB71" s="46"/>
      <c r="AC71" s="46"/>
    </row>
    <row r="72">
      <c r="A72" s="42" t="s">
        <v>99</v>
      </c>
      <c r="B72" s="43"/>
      <c r="C72" s="46">
        <f>VLOOKUP(VALUE(LEFT(A72, 4)), 'Raw Annual Revenue'!A:C, 3, FALSE) / 4
</f>
        <v>2110492.75</v>
      </c>
      <c r="D72" s="46">
        <f>VLOOKUP(VALUE(LEFT(A72, 4)), 'Raw Annual Revenue'!A:D, 4, FALSE) / 4
</f>
        <v>1440871.25</v>
      </c>
      <c r="E72" s="46">
        <f>VLOOKUP(VALUE(LEFT(A72, 4)), 'Raw Annual Revenue'!A:E, 5, FALSE) / 4
</f>
        <v>300168.25</v>
      </c>
      <c r="F72" s="46">
        <f>VLOOKUP(VALUE(LEFT(A72, 4)), 'Raw Annual Revenue'!A:F, 6, FALSE) / 4</f>
        <v>311500</v>
      </c>
      <c r="G72" s="46">
        <f>VLOOKUP(VALUE(LEFT(A72, 4)), 'Raw Annual Revenue'!A:G, 7, FALSE) / 4</f>
        <v>93890</v>
      </c>
      <c r="H72" s="46">
        <f>VLOOKUP(VALUE(LEFT(A75, 4)), 'Raw Annual Revenue'!A:H, 8, FALSE) / 4</f>
        <v>38746.25</v>
      </c>
      <c r="I72" s="43"/>
      <c r="J72" s="46">
        <f>VLOOKUP(VALUE(LEFT(A75, 4)), 'Raw Annual Revenue'!A:J, 10, FALSE) / 4</f>
        <v>75128.75</v>
      </c>
      <c r="K72" s="43"/>
      <c r="L72" s="46">
        <f>VLOOKUP(VALUE(LEFT($A72, 4)), 'Raw Annual Revenue'!$A:L, 12, FALSE) / 4</f>
        <v>117024.25</v>
      </c>
      <c r="M72" s="43"/>
      <c r="N72" s="43"/>
      <c r="O72" s="47">
        <f>VLOOKUP(VALUE(LEFT(A74, 4)), 'Raw Annual Revenue'!A:O, 15, FALSE) / 4
</f>
        <v>23230.75</v>
      </c>
      <c r="P72" s="43"/>
      <c r="Q72" s="43"/>
      <c r="R72" s="43"/>
      <c r="S72" s="46">
        <f>VLOOKUP(VALUE(LEFT(A72, 4)), 'Raw Annual Revenue'!A:S, 18, FALSE) / 4</f>
        <v>0</v>
      </c>
      <c r="T72" s="43"/>
      <c r="U72" s="43"/>
      <c r="V72" s="45">
        <f>VLOOKUP(VALUE(LEFT($A72, 4)), 'Raw Annual Revenue'!$A:V, 21, FALSE) / 4
</f>
        <v>0</v>
      </c>
      <c r="W72" s="43"/>
      <c r="X72" s="45">
        <f>VLOOKUP(VALUE(LEFT($A74, 4)), 'Raw Annual Revenue'!$A:X, 23, FALSE) / 4
</f>
        <v>0</v>
      </c>
      <c r="Y72" s="46">
        <f>VLOOKUP(VALUE(LEFT(A72, 4)), 'Raw Annual Revenue'!A:Y, 24, FALSE) / 4</f>
        <v>519982</v>
      </c>
      <c r="Z72" s="46"/>
      <c r="AA72" s="46">
        <f>VLOOKUP(VALUE(LEFT($A72, 4)), 'Raw Annual Revenue'!$A:AA, 26, FALSE) / 4</f>
        <v>0</v>
      </c>
      <c r="AB72" s="46"/>
      <c r="AC72" s="46"/>
    </row>
    <row r="73">
      <c r="A73" s="42" t="s">
        <v>100</v>
      </c>
      <c r="B73" s="43"/>
      <c r="C73" s="46">
        <f>VLOOKUP(VALUE(LEFT(A73, 4)), 'Raw Annual Revenue'!A:C, 3, FALSE) / 4
</f>
        <v>2110492.75</v>
      </c>
      <c r="D73" s="46">
        <f>VLOOKUP(VALUE(LEFT(A73, 4)), 'Raw Annual Revenue'!A:D, 4, FALSE) / 4
</f>
        <v>1440871.25</v>
      </c>
      <c r="E73" s="46">
        <f>VLOOKUP(VALUE(LEFT(A73, 4)), 'Raw Annual Revenue'!A:E, 5, FALSE) / 4
</f>
        <v>300168.25</v>
      </c>
      <c r="F73" s="46">
        <f>VLOOKUP(VALUE(LEFT(A73, 4)), 'Raw Annual Revenue'!A:F, 6, FALSE) / 4</f>
        <v>311500</v>
      </c>
      <c r="G73" s="46">
        <f>VLOOKUP(VALUE(LEFT(A73, 4)), 'Raw Annual Revenue'!A:G, 7, FALSE) / 4</f>
        <v>93890</v>
      </c>
      <c r="H73" s="46">
        <f>VLOOKUP(VALUE(LEFT(A76, 4)), 'Raw Annual Revenue'!A:H, 8, FALSE) / 4</f>
        <v>38746.25</v>
      </c>
      <c r="I73" s="43"/>
      <c r="J73" s="46">
        <f>VLOOKUP(VALUE(LEFT(A76, 4)), 'Raw Annual Revenue'!A:J, 10, FALSE) / 4</f>
        <v>75128.75</v>
      </c>
      <c r="K73" s="43"/>
      <c r="L73" s="46">
        <f>VLOOKUP(VALUE(LEFT($A73, 4)), 'Raw Annual Revenue'!$A:L, 12, FALSE) / 4</f>
        <v>117024.25</v>
      </c>
      <c r="M73" s="43"/>
      <c r="N73" s="43"/>
      <c r="O73" s="47">
        <f>VLOOKUP(VALUE(LEFT(A75, 4)), 'Raw Annual Revenue'!A:O, 15, FALSE) / 4
</f>
        <v>22875.5</v>
      </c>
      <c r="P73" s="43"/>
      <c r="Q73" s="43"/>
      <c r="R73" s="43"/>
      <c r="S73" s="46">
        <f>VLOOKUP(VALUE(LEFT(A73, 4)), 'Raw Annual Revenue'!A:S, 18, FALSE) / 4</f>
        <v>0</v>
      </c>
      <c r="T73" s="43"/>
      <c r="U73" s="43"/>
      <c r="V73" s="45">
        <f>VLOOKUP(VALUE(LEFT($A73, 4)), 'Raw Annual Revenue'!$A:V, 21, FALSE) / 4
</f>
        <v>0</v>
      </c>
      <c r="W73" s="43"/>
      <c r="X73" s="45">
        <f>VLOOKUP(VALUE(LEFT($A75, 4)), 'Raw Annual Revenue'!$A:X, 23, FALSE) / 4
</f>
        <v>0</v>
      </c>
      <c r="Y73" s="46">
        <f>VLOOKUP(VALUE(LEFT(A73, 4)), 'Raw Annual Revenue'!A:Y, 24, FALSE) / 4</f>
        <v>519982</v>
      </c>
      <c r="Z73" s="46"/>
      <c r="AA73" s="46">
        <f>VLOOKUP(VALUE(LEFT($A73, 4)), 'Raw Annual Revenue'!$A:AA, 26, FALSE) / 4</f>
        <v>0</v>
      </c>
      <c r="AB73" s="46"/>
      <c r="AC73" s="46"/>
    </row>
    <row r="74">
      <c r="A74" s="42" t="s">
        <v>101</v>
      </c>
      <c r="B74" s="43"/>
      <c r="C74" s="46">
        <f>VLOOKUP(VALUE(LEFT(A74, 4)), 'Raw Annual Revenue'!A:C, 3, FALSE) / 4
</f>
        <v>2110492.75</v>
      </c>
      <c r="D74" s="46">
        <f>VLOOKUP(VALUE(LEFT(A74, 4)), 'Raw Annual Revenue'!A:D, 4, FALSE) / 4
</f>
        <v>1440871.25</v>
      </c>
      <c r="E74" s="46">
        <f>VLOOKUP(VALUE(LEFT(A74, 4)), 'Raw Annual Revenue'!A:E, 5, FALSE) / 4
</f>
        <v>300168.25</v>
      </c>
      <c r="F74" s="46">
        <f>VLOOKUP(VALUE(LEFT(A74, 4)), 'Raw Annual Revenue'!A:F, 6, FALSE) / 4</f>
        <v>311500</v>
      </c>
      <c r="G74" s="46">
        <f>VLOOKUP(VALUE(LEFT(A74, 4)), 'Raw Annual Revenue'!A:G, 7, FALSE) / 4</f>
        <v>93890</v>
      </c>
      <c r="H74" s="46">
        <f>VLOOKUP(VALUE(LEFT(A77, 4)), 'Raw Annual Revenue'!A:H, 8, FALSE) / 4</f>
        <v>38746.25</v>
      </c>
      <c r="I74" s="43"/>
      <c r="J74" s="46">
        <f>VLOOKUP(VALUE(LEFT(A77, 4)), 'Raw Annual Revenue'!A:J, 10, FALSE) / 4</f>
        <v>75128.75</v>
      </c>
      <c r="K74" s="43"/>
      <c r="L74" s="46">
        <f>VLOOKUP(VALUE(LEFT($A74, 4)), 'Raw Annual Revenue'!$A:L, 12, FALSE) / 4</f>
        <v>117024.25</v>
      </c>
      <c r="M74" s="43"/>
      <c r="N74" s="43"/>
      <c r="O74" s="47">
        <f>VLOOKUP(VALUE(LEFT(A76, 4)), 'Raw Annual Revenue'!A:O, 15, FALSE) / 4
</f>
        <v>22875.5</v>
      </c>
      <c r="P74" s="43"/>
      <c r="Q74" s="43"/>
      <c r="R74" s="43"/>
      <c r="S74" s="46">
        <f>VLOOKUP(VALUE(LEFT(A74, 4)), 'Raw Annual Revenue'!A:S, 18, FALSE) / 4</f>
        <v>0</v>
      </c>
      <c r="T74" s="43"/>
      <c r="U74" s="43"/>
      <c r="V74" s="45">
        <f>VLOOKUP(VALUE(LEFT($A74, 4)), 'Raw Annual Revenue'!$A:V, 21, FALSE) / 4
</f>
        <v>0</v>
      </c>
      <c r="W74" s="43"/>
      <c r="X74" s="45">
        <f>VLOOKUP(VALUE(LEFT($A76, 4)), 'Raw Annual Revenue'!$A:X, 23, FALSE) / 4
</f>
        <v>0</v>
      </c>
      <c r="Y74" s="46">
        <f>VLOOKUP(VALUE(LEFT(A74, 4)), 'Raw Annual Revenue'!A:Y, 24, FALSE) / 4</f>
        <v>519982</v>
      </c>
      <c r="Z74" s="46"/>
      <c r="AA74" s="46">
        <f>VLOOKUP(VALUE(LEFT($A74, 4)), 'Raw Annual Revenue'!$A:AA, 26, FALSE) / 4</f>
        <v>0</v>
      </c>
      <c r="AB74" s="46"/>
      <c r="AC74" s="46"/>
    </row>
    <row r="75">
      <c r="A75" s="42" t="s">
        <v>102</v>
      </c>
      <c r="B75" s="50">
        <f>VLOOKUP(VALUE(LEFT(A75, 4)), 'Raw Annual Revenue'!A:B, 2, FALSE) / 4
</f>
        <v>229760.25</v>
      </c>
      <c r="C75" s="46">
        <f>VLOOKUP(VALUE(LEFT(A75, 4)), 'Raw Annual Revenue'!A:C, 3, FALSE) / 4
</f>
        <v>2305996.75</v>
      </c>
      <c r="D75" s="46">
        <f>VLOOKUP(VALUE(LEFT(A75, 4)), 'Raw Annual Revenue'!A:D, 4, FALSE) / 4
</f>
        <v>1668079.25</v>
      </c>
      <c r="E75" s="46">
        <f>VLOOKUP(VALUE(LEFT(A75, 4)), 'Raw Annual Revenue'!A:E, 5, FALSE) / 4
</f>
        <v>419686</v>
      </c>
      <c r="F75" s="46">
        <f>VLOOKUP(VALUE(LEFT(A75, 4)), 'Raw Annual Revenue'!A:F, 6, FALSE) / 4</f>
        <v>373000</v>
      </c>
      <c r="G75" s="46">
        <f>VLOOKUP(VALUE(LEFT(A75, 4)), 'Raw Annual Revenue'!A:G, 7, FALSE) / 4</f>
        <v>134204.75</v>
      </c>
      <c r="H75" s="46">
        <f>VLOOKUP(VALUE(LEFT(A78, 4)), 'Raw Annual Revenue'!A:H, 8, FALSE) / 4</f>
        <v>38746.25</v>
      </c>
      <c r="I75" s="46">
        <f>VLOOKUP(VALUE(LEFT(A75, 4)), 'Raw Annual Revenue'!A:I, 9, FALSE) / 4</f>
        <v>105427.75</v>
      </c>
      <c r="J75" s="46">
        <f>VLOOKUP(VALUE(LEFT(A78, 4)), 'Raw Annual Revenue'!A:J, 10, FALSE) / 4</f>
        <v>75128.75</v>
      </c>
      <c r="K75" s="43"/>
      <c r="L75" s="46">
        <f>VLOOKUP(VALUE(LEFT($A75, 4)), 'Raw Annual Revenue'!$A:L, 12, FALSE) / 4</f>
        <v>135071.25</v>
      </c>
      <c r="M75" s="43"/>
      <c r="N75" s="43"/>
      <c r="O75" s="47">
        <f>VLOOKUP(VALUE(LEFT(A77, 4)), 'Raw Annual Revenue'!A:O, 15, FALSE) / 4
</f>
        <v>22875.5</v>
      </c>
      <c r="P75" s="43"/>
      <c r="Q75" s="43"/>
      <c r="R75" s="43"/>
      <c r="S75" s="46">
        <f>VLOOKUP(VALUE(LEFT(A75, 4)), 'Raw Annual Revenue'!A:S, 18, FALSE) / 4</f>
        <v>0</v>
      </c>
      <c r="T75" s="43"/>
      <c r="U75" s="43"/>
      <c r="V75" s="43"/>
      <c r="W75" s="43"/>
      <c r="X75" s="45">
        <f>VLOOKUP(VALUE(LEFT($A77, 4)), 'Raw Annual Revenue'!$A:X, 23, FALSE) / 4
</f>
        <v>0</v>
      </c>
      <c r="Y75" s="46">
        <f>VLOOKUP(VALUE(LEFT(A75, 4)), 'Raw Annual Revenue'!A:Y, 24, FALSE) / 4</f>
        <v>453813</v>
      </c>
      <c r="Z75" s="46">
        <f>VLOOKUP(VALUE(LEFT($A75, 4)), 'Raw Annual Revenue'!$A:Z, 25, FALSE) / 4</f>
        <v>40732.9853</v>
      </c>
      <c r="AA75" s="46">
        <f>VLOOKUP(VALUE(LEFT($A75, 4)), 'Raw Annual Revenue'!$A:AA, 26, FALSE) / 4</f>
        <v>6539</v>
      </c>
      <c r="AB75" s="46"/>
      <c r="AC75" s="46"/>
    </row>
    <row r="76">
      <c r="A76" s="42" t="s">
        <v>103</v>
      </c>
      <c r="B76" s="50">
        <f>VLOOKUP(VALUE(LEFT(A76, 4)), 'Raw Annual Revenue'!A:B, 2, FALSE) / 4
</f>
        <v>229760.25</v>
      </c>
      <c r="C76" s="46">
        <f>VLOOKUP(VALUE(LEFT(A76, 4)), 'Raw Annual Revenue'!A:C, 3, FALSE) / 4
</f>
        <v>2305996.75</v>
      </c>
      <c r="D76" s="46">
        <f>VLOOKUP(VALUE(LEFT(A76, 4)), 'Raw Annual Revenue'!A:D, 4, FALSE) / 4
</f>
        <v>1668079.25</v>
      </c>
      <c r="E76" s="46">
        <f>VLOOKUP(VALUE(LEFT(A76, 4)), 'Raw Annual Revenue'!A:E, 5, FALSE) / 4
</f>
        <v>419686</v>
      </c>
      <c r="F76" s="46">
        <f>VLOOKUP(VALUE(LEFT(A76, 4)), 'Raw Annual Revenue'!A:F, 6, FALSE) / 4</f>
        <v>373000</v>
      </c>
      <c r="G76" s="46">
        <f>VLOOKUP(VALUE(LEFT(A76, 4)), 'Raw Annual Revenue'!A:G, 7, FALSE) / 4</f>
        <v>134204.75</v>
      </c>
      <c r="H76" s="46">
        <f>VLOOKUP(VALUE(LEFT(A79, 4)), 'Raw Annual Revenue'!A:H, 8, FALSE) / 4</f>
        <v>131854</v>
      </c>
      <c r="I76" s="46">
        <f>VLOOKUP(VALUE(LEFT(A76, 4)), 'Raw Annual Revenue'!A:I, 9, FALSE) / 4</f>
        <v>105427.75</v>
      </c>
      <c r="J76" s="46">
        <f>VLOOKUP(VALUE(LEFT(A79, 4)), 'Raw Annual Revenue'!A:J, 10, FALSE) / 4</f>
        <v>84267</v>
      </c>
      <c r="K76" s="43"/>
      <c r="L76" s="46">
        <f>VLOOKUP(VALUE(LEFT($A76, 4)), 'Raw Annual Revenue'!$A:L, 12, FALSE) / 4</f>
        <v>135071.25</v>
      </c>
      <c r="M76" s="43"/>
      <c r="N76" s="43"/>
      <c r="O76" s="47">
        <f>VLOOKUP(VALUE(LEFT(A78, 4)), 'Raw Annual Revenue'!A:O, 15, FALSE) / 4
</f>
        <v>22875.5</v>
      </c>
      <c r="P76" s="43"/>
      <c r="Q76" s="43"/>
      <c r="R76" s="43"/>
      <c r="S76" s="46">
        <f>VLOOKUP(VALUE(LEFT(A76, 4)), 'Raw Annual Revenue'!A:S, 18, FALSE) / 4</f>
        <v>0</v>
      </c>
      <c r="T76" s="43"/>
      <c r="U76" s="43"/>
      <c r="V76" s="43"/>
      <c r="W76" s="43"/>
      <c r="X76" s="45">
        <f>VLOOKUP(VALUE(LEFT($A78, 4)), 'Raw Annual Revenue'!$A:X, 23, FALSE) / 4
</f>
        <v>0</v>
      </c>
      <c r="Y76" s="46">
        <f>VLOOKUP(VALUE(LEFT(A76, 4)), 'Raw Annual Revenue'!A:Y, 24, FALSE) / 4</f>
        <v>453813</v>
      </c>
      <c r="Z76" s="46">
        <f>VLOOKUP(VALUE(LEFT($A76, 4)), 'Raw Annual Revenue'!$A:Z, 25, FALSE) / 4</f>
        <v>40732.9853</v>
      </c>
      <c r="AA76" s="46">
        <f>VLOOKUP(VALUE(LEFT($A76, 4)), 'Raw Annual Revenue'!$A:AA, 26, FALSE) / 4</f>
        <v>6539</v>
      </c>
      <c r="AB76" s="46"/>
      <c r="AC76" s="46"/>
    </row>
    <row r="77">
      <c r="A77" s="42" t="s">
        <v>104</v>
      </c>
      <c r="B77" s="50">
        <f>VLOOKUP(VALUE(LEFT(A77, 4)), 'Raw Annual Revenue'!A:B, 2, FALSE) / 4
</f>
        <v>229760.25</v>
      </c>
      <c r="C77" s="46">
        <f>VLOOKUP(VALUE(LEFT(A77, 4)), 'Raw Annual Revenue'!A:C, 3, FALSE) / 4
</f>
        <v>2305996.75</v>
      </c>
      <c r="D77" s="46">
        <f>VLOOKUP(VALUE(LEFT(A77, 4)), 'Raw Annual Revenue'!A:D, 4, FALSE) / 4
</f>
        <v>1668079.25</v>
      </c>
      <c r="E77" s="46">
        <f>VLOOKUP(VALUE(LEFT(A77, 4)), 'Raw Annual Revenue'!A:E, 5, FALSE) / 4
</f>
        <v>419686</v>
      </c>
      <c r="F77" s="46">
        <f>VLOOKUP(VALUE(LEFT(A77, 4)), 'Raw Annual Revenue'!A:F, 6, FALSE) / 4</f>
        <v>373000</v>
      </c>
      <c r="G77" s="46">
        <f>VLOOKUP(VALUE(LEFT(A77, 4)), 'Raw Annual Revenue'!A:G, 7, FALSE) / 4</f>
        <v>134204.75</v>
      </c>
      <c r="H77" s="46">
        <f>VLOOKUP(VALUE(LEFT(A80, 4)), 'Raw Annual Revenue'!A:H, 8, FALSE) / 4</f>
        <v>131854</v>
      </c>
      <c r="I77" s="46">
        <f>VLOOKUP(VALUE(LEFT(A77, 4)), 'Raw Annual Revenue'!A:I, 9, FALSE) / 4</f>
        <v>105427.75</v>
      </c>
      <c r="J77" s="46">
        <f>VLOOKUP(VALUE(LEFT(A80, 4)), 'Raw Annual Revenue'!A:J, 10, FALSE) / 4</f>
        <v>84267</v>
      </c>
      <c r="K77" s="43"/>
      <c r="L77" s="46">
        <f>VLOOKUP(VALUE(LEFT($A77, 4)), 'Raw Annual Revenue'!$A:L, 12, FALSE) / 4</f>
        <v>135071.25</v>
      </c>
      <c r="M77" s="43"/>
      <c r="N77" s="43"/>
      <c r="O77" s="47">
        <f>VLOOKUP(VALUE(LEFT(A79, 4)), 'Raw Annual Revenue'!A:O, 15, FALSE) / 4
</f>
        <v>28673.75</v>
      </c>
      <c r="P77" s="43"/>
      <c r="Q77" s="43"/>
      <c r="R77" s="43"/>
      <c r="S77" s="46">
        <f>VLOOKUP(VALUE(LEFT(A77, 4)), 'Raw Annual Revenue'!A:S, 18, FALSE) / 4</f>
        <v>0</v>
      </c>
      <c r="T77" s="43"/>
      <c r="U77" s="43"/>
      <c r="V77" s="43"/>
      <c r="W77" s="43"/>
      <c r="X77" s="45">
        <f>VLOOKUP(VALUE(LEFT($A79, 4)), 'Raw Annual Revenue'!$A:X, 23, FALSE) / 4
</f>
        <v>0</v>
      </c>
      <c r="Y77" s="46">
        <f>VLOOKUP(VALUE(LEFT(A77, 4)), 'Raw Annual Revenue'!A:Y, 24, FALSE) / 4</f>
        <v>453813</v>
      </c>
      <c r="Z77" s="46">
        <f>VLOOKUP(VALUE(LEFT($A77, 4)), 'Raw Annual Revenue'!$A:Z, 25, FALSE) / 4</f>
        <v>40732.9853</v>
      </c>
      <c r="AA77" s="46">
        <f>VLOOKUP(VALUE(LEFT($A77, 4)), 'Raw Annual Revenue'!$A:AA, 26, FALSE) / 4</f>
        <v>6539</v>
      </c>
      <c r="AB77" s="46"/>
      <c r="AC77" s="46"/>
    </row>
    <row r="78">
      <c r="A78" s="42" t="s">
        <v>105</v>
      </c>
      <c r="B78" s="50">
        <f>VLOOKUP(VALUE(LEFT(A78, 4)), 'Raw Annual Revenue'!A:B, 2, FALSE) / 4
</f>
        <v>229760.25</v>
      </c>
      <c r="C78" s="46">
        <f>VLOOKUP(VALUE(LEFT(A78, 4)), 'Raw Annual Revenue'!A:C, 3, FALSE) / 4
</f>
        <v>2305996.75</v>
      </c>
      <c r="D78" s="46">
        <f>VLOOKUP(VALUE(LEFT(A78, 4)), 'Raw Annual Revenue'!A:D, 4, FALSE) / 4
</f>
        <v>1668079.25</v>
      </c>
      <c r="E78" s="46">
        <f>VLOOKUP(VALUE(LEFT(A78, 4)), 'Raw Annual Revenue'!A:E, 5, FALSE) / 4
</f>
        <v>419686</v>
      </c>
      <c r="F78" s="46">
        <f>VLOOKUP(VALUE(LEFT(A78, 4)), 'Raw Annual Revenue'!A:F, 6, FALSE) / 4</f>
        <v>373000</v>
      </c>
      <c r="G78" s="46">
        <f>VLOOKUP(VALUE(LEFT(A78, 4)), 'Raw Annual Revenue'!A:G, 7, FALSE) / 4</f>
        <v>134204.75</v>
      </c>
      <c r="H78" s="46">
        <f>VLOOKUP(VALUE(LEFT(A81, 4)), 'Raw Annual Revenue'!A:H, 8, FALSE) / 4</f>
        <v>131854</v>
      </c>
      <c r="I78" s="46">
        <f>VLOOKUP(VALUE(LEFT(A78, 4)), 'Raw Annual Revenue'!A:I, 9, FALSE) / 4</f>
        <v>105427.75</v>
      </c>
      <c r="J78" s="46">
        <f>VLOOKUP(VALUE(LEFT(A81, 4)), 'Raw Annual Revenue'!A:J, 10, FALSE) / 4</f>
        <v>84267</v>
      </c>
      <c r="K78" s="43"/>
      <c r="L78" s="46">
        <f>VLOOKUP(VALUE(LEFT($A78, 4)), 'Raw Annual Revenue'!$A:L, 12, FALSE) / 4</f>
        <v>135071.25</v>
      </c>
      <c r="M78" s="43"/>
      <c r="N78" s="43"/>
      <c r="O78" s="47">
        <f>VLOOKUP(VALUE(LEFT(A80, 4)), 'Raw Annual Revenue'!A:O, 15, FALSE) / 4
</f>
        <v>28673.75</v>
      </c>
      <c r="P78" s="43"/>
      <c r="Q78" s="43"/>
      <c r="R78" s="43"/>
      <c r="S78" s="46">
        <f>VLOOKUP(VALUE(LEFT(A78, 4)), 'Raw Annual Revenue'!A:S, 18, FALSE) / 4</f>
        <v>0</v>
      </c>
      <c r="T78" s="43"/>
      <c r="U78" s="43"/>
      <c r="V78" s="43"/>
      <c r="W78" s="43"/>
      <c r="X78" s="45">
        <f>VLOOKUP(VALUE(LEFT($A80, 4)), 'Raw Annual Revenue'!$A:X, 23, FALSE) / 4
</f>
        <v>0</v>
      </c>
      <c r="Y78" s="46">
        <f>VLOOKUP(VALUE(LEFT(A78, 4)), 'Raw Annual Revenue'!A:Y, 24, FALSE) / 4</f>
        <v>453813</v>
      </c>
      <c r="Z78" s="46">
        <f>VLOOKUP(VALUE(LEFT($A78, 4)), 'Raw Annual Revenue'!$A:Z, 25, FALSE) / 4</f>
        <v>40732.9853</v>
      </c>
      <c r="AA78" s="46">
        <f>VLOOKUP(VALUE(LEFT($A78, 4)), 'Raw Annual Revenue'!$A:AA, 26, FALSE) / 4</f>
        <v>6539</v>
      </c>
      <c r="AB78" s="46"/>
      <c r="AC78" s="46"/>
    </row>
    <row r="79">
      <c r="A79" s="42" t="s">
        <v>106</v>
      </c>
      <c r="B79" s="50">
        <f>VLOOKUP(VALUE(LEFT(A79, 4)), 'Raw Annual Revenue'!A:B, 2, FALSE) / 4
</f>
        <v>413894</v>
      </c>
      <c r="C79" s="51">
        <f>IFERROR(__xludf.DUMMYFUNCTION("IMPORTRANGE(""https://docs.google.com/spreadsheets/d/1bozxp9FwhaCNzy-RRGPVPfVYTttO4PUGDdaFvbz-Ue0/edit?gid=1870218791#gid=1870218791"", ""Rev vs Mktg &amp; Mktg Mix!C"" &amp; ROW(C17))
"),2148.0)</f>
        <v>2148</v>
      </c>
      <c r="D79" s="51">
        <f>IFERROR(__xludf.DUMMYFUNCTION("IMPORTRANGE(""https://docs.google.com/spreadsheets/d/1bozxp9FwhaCNzy-RRGPVPfVYTttO4PUGDdaFvbz-Ue0/edit?gid=1870218791#gid=1870218791"", ""Rev vs Mktg &amp; Mktg Mix!D"" &amp; ROW(D17))
"),1904.0)</f>
        <v>1904</v>
      </c>
      <c r="E79" s="51">
        <f>IFERROR(__xludf.DUMMYFUNCTION("IMPORTRANGE(""https://docs.google.com/spreadsheets/d/1bozxp9FwhaCNzy-RRGPVPfVYTttO4PUGDdaFvbz-Ue0/edit?gid=1870218791#gid=1870218791"", ""Rev vs Mktg &amp; Mktg Mix!E"" &amp; ROW(E17))
"),682.0)</f>
        <v>682</v>
      </c>
      <c r="F79" s="51">
        <f>IFERROR(__xludf.DUMMYFUNCTION("IMPORTRANGE(""https://docs.google.com/spreadsheets/d/1bozxp9FwhaCNzy-RRGPVPfVYTttO4PUGDdaFvbz-Ue0/edit?gid=1870218791#gid=1870218791"", ""Rev vs Mktg &amp; Mktg Mix!F"" &amp; ROW(F17))
"),352.0)</f>
        <v>352</v>
      </c>
      <c r="G79" s="51">
        <f>IFERROR(__xludf.DUMMYFUNCTION("IMPORTRANGE(""https://docs.google.com/spreadsheets/d/1bozxp9FwhaCNzy-RRGPVPfVYTttO4PUGDdaFvbz-Ue0/edit?gid=1870218791#gid=1870218791"", ""Rev vs Mktg &amp; Mktg Mix!G"" &amp; ROW(I17))
"),159.4)</f>
        <v>159.4</v>
      </c>
      <c r="H79" s="46">
        <f>VLOOKUP(VALUE(LEFT(A82, 4)), 'Raw Annual Revenue'!A:H, 8, FALSE) / 4</f>
        <v>131854</v>
      </c>
      <c r="I79" s="51">
        <f>IFERROR(__xludf.DUMMYFUNCTION("IMPORTRANGE(""https://docs.google.com/spreadsheets/d/1bozxp9FwhaCNzy-RRGPVPfVYTttO4PUGDdaFvbz-Ue0/edit?gid=1870218791#gid=1870218791"", ""Rev vs Mktg &amp; Mktg Mix!I"" &amp; ROW(K17))
"),95.0)</f>
        <v>95</v>
      </c>
      <c r="J79" s="51">
        <f>IFERROR(__xludf.DUMMYFUNCTION("IMPORTRANGE(""https://docs.google.com/spreadsheets/d/1bozxp9FwhaCNzy-RRGPVPfVYTttO4PUGDdaFvbz-Ue0/edit?gid=1870218791#gid=1870218791"", ""Rev vs Mktg &amp; Mktg Mix!J"" &amp; ROW(J17))
"),88.0)</f>
        <v>88</v>
      </c>
      <c r="K79" s="52"/>
      <c r="L79" s="51">
        <f>IFERROR(__xludf.DUMMYFUNCTION("IMPORTRANGE(""https://docs.google.com/spreadsheets/d/1bozxp9FwhaCNzy-RRGPVPfVYTttO4PUGDdaFvbz-Ue0/edit?gid=1870218791#gid=1870218791"", ""Rev vs Mktg &amp; Mktg Mix!L"" &amp; ROW(N17))
"),142.67292015270002)</f>
        <v>142.6729202</v>
      </c>
      <c r="M79" s="43"/>
      <c r="N79" s="53">
        <f>IFERROR(__xludf.DUMMYFUNCTION("IMPORTRANGE(""https://docs.google.com/spreadsheets/d/1bozxp9FwhaCNzy-RRGPVPfVYTttO4PUGDdaFvbz-Ue0/edit?gid=1870218791#gid=1870218791"", ""Rev vs Mktg &amp; Mktg Mix!N"" &amp; ROW(N17))
"),2.108)</f>
        <v>2.108</v>
      </c>
      <c r="O79" s="47">
        <f>VLOOKUP(VALUE(LEFT(A81, 4)), 'Raw Annual Revenue'!A:O, 15, FALSE) / 4
</f>
        <v>28673.75</v>
      </c>
      <c r="P79" s="43"/>
      <c r="Q79" s="43"/>
      <c r="R79" s="43"/>
      <c r="S79" s="46">
        <f>VLOOKUP(VALUE(LEFT(A79, 4)), 'Raw Annual Revenue'!A:S, 18, FALSE) / 4</f>
        <v>0</v>
      </c>
      <c r="T79" s="43"/>
      <c r="U79" s="43"/>
      <c r="V79" s="43"/>
      <c r="W79" s="43"/>
      <c r="X79" s="45">
        <f>VLOOKUP(VALUE(LEFT($A81, 4)), 'Raw Annual Revenue'!$A:X, 23, FALSE) / 4
</f>
        <v>0</v>
      </c>
      <c r="Y79" s="46">
        <f>VLOOKUP(VALUE(LEFT(A79, 4)), 'Raw Annual Revenue'!A:Y, 24, FALSE) / 4</f>
        <v>489524</v>
      </c>
      <c r="Z79" s="46">
        <f>VLOOKUP(VALUE(LEFT($A79, 4)), 'Raw Annual Revenue'!$A:Z, 25, FALSE) / 4</f>
        <v>48698.38965</v>
      </c>
      <c r="AA79" s="46">
        <f>VLOOKUP(VALUE(LEFT($A79, 4)), 'Raw Annual Revenue'!$A:AA, 26, FALSE) / 4</f>
        <v>9266.25</v>
      </c>
      <c r="AB79" s="46"/>
      <c r="AC79" s="46">
        <f>VLOOKUP(VALUE(LEFT($A79, 4)), 'Raw Annual Revenue'!$A:AC, 28, FALSE) / 4</f>
        <v>0</v>
      </c>
    </row>
    <row r="80">
      <c r="A80" s="42" t="s">
        <v>107</v>
      </c>
      <c r="B80" s="50">
        <f>VLOOKUP(VALUE(LEFT(A80, 4)), 'Raw Annual Revenue'!A:B, 2, FALSE) / 4
</f>
        <v>413894</v>
      </c>
      <c r="C80" s="54">
        <f>IFERROR(__xludf.DUMMYFUNCTION("IMPORTRANGE(""https://docs.google.com/spreadsheets/d/1bozxp9FwhaCNzy-RRGPVPfVYTttO4PUGDdaFvbz-Ue0/edit?gid=1870218791#gid=1870218791"", ""Rev vs Mktg &amp; Mktg Mix!C"" &amp; ROW(C18))
"),2556.0)</f>
        <v>2556</v>
      </c>
      <c r="D80" s="54">
        <f>IFERROR(__xludf.DUMMYFUNCTION("IMPORTRANGE(""https://docs.google.com/spreadsheets/d/1bozxp9FwhaCNzy-RRGPVPfVYTttO4PUGDdaFvbz-Ue0/edit?gid=1870218791#gid=1870218791"", ""Rev vs Mktg &amp; Mktg Mix!D"" &amp; ROW(D18))
"),2196.0)</f>
        <v>2196</v>
      </c>
      <c r="E80" s="54">
        <f>IFERROR(__xludf.DUMMYFUNCTION("IMPORTRANGE(""https://docs.google.com/spreadsheets/d/1bozxp9FwhaCNzy-RRGPVPfVYTttO4PUGDdaFvbz-Ue0/edit?gid=1870218791#gid=1870218791"", ""Rev vs Mktg &amp; Mktg Mix!E"" &amp; ROW(E18))
"),684.0)</f>
        <v>684</v>
      </c>
      <c r="F80" s="54">
        <f>IFERROR(__xludf.DUMMYFUNCTION("IMPORTRANGE(""https://docs.google.com/spreadsheets/d/1bozxp9FwhaCNzy-RRGPVPfVYTttO4PUGDdaFvbz-Ue0/edit?gid=1870218791#gid=1870218791"", ""Rev vs Mktg &amp; Mktg Mix!F"" &amp; ROW(F18))
"),391.0)</f>
        <v>391</v>
      </c>
      <c r="G80" s="54">
        <f>IFERROR(__xludf.DUMMYFUNCTION("IMPORTRANGE(""https://docs.google.com/spreadsheets/d/1bozxp9FwhaCNzy-RRGPVPfVYTttO4PUGDdaFvbz-Ue0/edit?gid=1870218791#gid=1870218791"", ""Rev vs Mktg &amp; Mktg Mix!G"" &amp; ROW(I18))
"),179.0)</f>
        <v>179</v>
      </c>
      <c r="H80" s="46">
        <f>VLOOKUP(VALUE(LEFT(A83, 4)), 'Raw Annual Revenue'!A:H, 8, FALSE) / 4</f>
        <v>130046.25</v>
      </c>
      <c r="I80" s="54">
        <f>IFERROR(__xludf.DUMMYFUNCTION("IMPORTRANGE(""https://docs.google.com/spreadsheets/d/1bozxp9FwhaCNzy-RRGPVPfVYTttO4PUGDdaFvbz-Ue0/edit?gid=1870218791#gid=1870218791"", ""Rev vs Mktg &amp; Mktg Mix!I"" &amp; ROW(K18))
"),99.0)</f>
        <v>99</v>
      </c>
      <c r="J80" s="54">
        <f>IFERROR(__xludf.DUMMYFUNCTION("IMPORTRANGE(""https://docs.google.com/spreadsheets/d/1bozxp9FwhaCNzy-RRGPVPfVYTttO4PUGDdaFvbz-Ue0/edit?gid=1870218791#gid=1870218791"", ""Rev vs Mktg &amp; Mktg Mix!J"" &amp; ROW(J18))
"),121.0)</f>
        <v>121</v>
      </c>
      <c r="K80" s="55"/>
      <c r="L80" s="54">
        <f>IFERROR(__xludf.DUMMYFUNCTION("IMPORTRANGE(""https://docs.google.com/spreadsheets/d/1bozxp9FwhaCNzy-RRGPVPfVYTttO4PUGDdaFvbz-Ue0/edit?gid=1870218791#gid=1870218791"", ""Rev vs Mktg &amp; Mktg Mix!L"" &amp; ROW(N18))
"),165.724190268)</f>
        <v>165.7241903</v>
      </c>
      <c r="M80" s="56"/>
      <c r="N80" s="57">
        <f>IFERROR(__xludf.DUMMYFUNCTION("IMPORTRANGE(""https://docs.google.com/spreadsheets/d/1bozxp9FwhaCNzy-RRGPVPfVYTttO4PUGDdaFvbz-Ue0/edit?gid=1870218791#gid=1870218791"", ""Rev vs Mktg &amp; Mktg Mix!N"" &amp; ROW(N18))
"),2.229)</f>
        <v>2.229</v>
      </c>
      <c r="O80" s="47">
        <f>VLOOKUP(VALUE(LEFT(A82, 4)), 'Raw Annual Revenue'!A:O, 15, FALSE) / 4
</f>
        <v>28673.75</v>
      </c>
      <c r="P80" s="43"/>
      <c r="Q80" s="43"/>
      <c r="R80" s="43"/>
      <c r="S80" s="46">
        <f>VLOOKUP(VALUE(LEFT(A80, 4)), 'Raw Annual Revenue'!A:S, 18, FALSE) / 4</f>
        <v>0</v>
      </c>
      <c r="T80" s="45">
        <f>VLOOKUP(VALUE(LEFT(A83, 4)), 'Raw Annual Revenue'!A:T, 19, FALSE) / 4</f>
        <v>77603.75</v>
      </c>
      <c r="U80" s="43"/>
      <c r="V80" s="43"/>
      <c r="W80" s="43"/>
      <c r="X80" s="45">
        <f>VLOOKUP(VALUE(LEFT($A82, 4)), 'Raw Annual Revenue'!$A:X, 23, FALSE) / 4
</f>
        <v>0</v>
      </c>
      <c r="Y80" s="46">
        <f>VLOOKUP(VALUE(LEFT(A80, 4)), 'Raw Annual Revenue'!A:Y, 24, FALSE) / 4</f>
        <v>489524</v>
      </c>
      <c r="Z80" s="46">
        <f>VLOOKUP(VALUE(LEFT($A80, 4)), 'Raw Annual Revenue'!$A:Z, 25, FALSE) / 4</f>
        <v>48698.38965</v>
      </c>
      <c r="AA80" s="46">
        <f>VLOOKUP(VALUE(LEFT($A80, 4)), 'Raw Annual Revenue'!$A:AA, 26, FALSE) / 4</f>
        <v>9266.25</v>
      </c>
      <c r="AB80" s="46"/>
      <c r="AC80" s="46">
        <f>VLOOKUP(VALUE(LEFT($A80, 4)), 'Raw Annual Revenue'!$A:AC, 28, FALSE) / 4</f>
        <v>0</v>
      </c>
    </row>
    <row r="81">
      <c r="A81" s="42" t="s">
        <v>108</v>
      </c>
      <c r="B81" s="50">
        <f>VLOOKUP(VALUE(LEFT(A81, 4)), 'Raw Annual Revenue'!A:B, 2, FALSE) / 4
</f>
        <v>413894</v>
      </c>
      <c r="C81" s="54">
        <f>IFERROR(__xludf.DUMMYFUNCTION("IMPORTRANGE(""https://docs.google.com/spreadsheets/d/1bozxp9FwhaCNzy-RRGPVPfVYTttO4PUGDdaFvbz-Ue0/edit?gid=1870218791#gid=1870218791"", ""Rev vs Mktg &amp; Mktg Mix!C"" &amp; ROW(C19))
"),3691.0)</f>
        <v>3691</v>
      </c>
      <c r="D81" s="54">
        <f>IFERROR(__xludf.DUMMYFUNCTION("IMPORTRANGE(""https://docs.google.com/spreadsheets/d/1bozxp9FwhaCNzy-RRGPVPfVYTttO4PUGDdaFvbz-Ue0/edit?gid=1870218791#gid=1870218791"", ""Rev vs Mktg &amp; Mktg Mix!D"" &amp; ROW(D19))
"),2581.0)</f>
        <v>2581</v>
      </c>
      <c r="E81" s="54">
        <f>IFERROR(__xludf.DUMMYFUNCTION("IMPORTRANGE(""https://docs.google.com/spreadsheets/d/1bozxp9FwhaCNzy-RRGPVPfVYTttO4PUGDdaFvbz-Ue0/edit?gid=1870218791#gid=1870218791"", ""Rev vs Mktg &amp; Mktg Mix!E"" &amp; ROW(E19))
"),850.0)</f>
        <v>850</v>
      </c>
      <c r="F81" s="54">
        <f>IFERROR(__xludf.DUMMYFUNCTION("IMPORTRANGE(""https://docs.google.com/spreadsheets/d/1bozxp9FwhaCNzy-RRGPVPfVYTttO4PUGDdaFvbz-Ue0/edit?gid=1870218791#gid=1870218791"", ""Rev vs Mktg &amp; Mktg Mix!F"" &amp; ROW(F19))
"),421.0)</f>
        <v>421</v>
      </c>
      <c r="G81" s="54">
        <f>IFERROR(__xludf.DUMMYFUNCTION("IMPORTRANGE(""https://docs.google.com/spreadsheets/d/1bozxp9FwhaCNzy-RRGPVPfVYTttO4PUGDdaFvbz-Ue0/edit?gid=1870218791#gid=1870218791"", ""Rev vs Mktg &amp; Mktg Mix!G"" &amp; ROW(I19))
"),247.0)</f>
        <v>247</v>
      </c>
      <c r="H81" s="46">
        <f>VLOOKUP(VALUE(LEFT(A84, 4)), 'Raw Annual Revenue'!A:H, 8, FALSE) / 4</f>
        <v>130046.25</v>
      </c>
      <c r="I81" s="54">
        <f>IFERROR(__xludf.DUMMYFUNCTION("IMPORTRANGE(""https://docs.google.com/spreadsheets/d/1bozxp9FwhaCNzy-RRGPVPfVYTttO4PUGDdaFvbz-Ue0/edit?gid=1870218791#gid=1870218791"", ""Rev vs Mktg &amp; Mktg Mix!I"" &amp; ROW(K19))
"),106.0)</f>
        <v>106</v>
      </c>
      <c r="J81" s="54">
        <f>IFERROR(__xludf.DUMMYFUNCTION("IMPORTRANGE(""https://docs.google.com/spreadsheets/d/1bozxp9FwhaCNzy-RRGPVPfVYTttO4PUGDdaFvbz-Ue0/edit?gid=1870218791#gid=1870218791"", ""Rev vs Mktg &amp; Mktg Mix!J"" &amp; ROW(J19))
"),83.0)</f>
        <v>83</v>
      </c>
      <c r="K81" s="43"/>
      <c r="L81" s="54">
        <f>IFERROR(__xludf.DUMMYFUNCTION("IMPORTRANGE(""https://docs.google.com/spreadsheets/d/1bozxp9FwhaCNzy-RRGPVPfVYTttO4PUGDdaFvbz-Ue0/edit?gid=1870218791#gid=1870218791"", ""Rev vs Mktg &amp; Mktg Mix!L"" &amp; ROW(N19))
"),139.6045057155)</f>
        <v>139.6045057</v>
      </c>
      <c r="M81" s="43"/>
      <c r="N81" s="57">
        <f>IFERROR(__xludf.DUMMYFUNCTION("IMPORTRANGE(""https://docs.google.com/spreadsheets/d/1bozxp9FwhaCNzy-RRGPVPfVYTttO4PUGDdaFvbz-Ue0/edit?gid=1870218791#gid=1870218791"", ""Rev vs Mktg &amp; Mktg Mix!N"" &amp; ROW(N19))
"),2.574)</f>
        <v>2.574</v>
      </c>
      <c r="O81" s="47">
        <f>VLOOKUP(VALUE(LEFT(A83, 4)), 'Raw Annual Revenue'!A:O, 15, FALSE) / 4
</f>
        <v>39747.75</v>
      </c>
      <c r="P81" s="43"/>
      <c r="Q81" s="43"/>
      <c r="R81" s="43"/>
      <c r="S81" s="46">
        <f>VLOOKUP(VALUE(LEFT(A81, 4)), 'Raw Annual Revenue'!A:S, 18, FALSE) / 4</f>
        <v>0</v>
      </c>
      <c r="T81" s="45">
        <f>VLOOKUP(VALUE(LEFT(A84, 4)), 'Raw Annual Revenue'!A:T, 19, FALSE) / 4</f>
        <v>77603.75</v>
      </c>
      <c r="U81" s="43"/>
      <c r="V81" s="43"/>
      <c r="W81" s="43"/>
      <c r="X81" s="45">
        <f>VLOOKUP(VALUE(LEFT($A83, 4)), 'Raw Annual Revenue'!$A:X, 23, FALSE) / 4
</f>
        <v>0</v>
      </c>
      <c r="Y81" s="46">
        <f>VLOOKUP(VALUE(LEFT(A81, 4)), 'Raw Annual Revenue'!A:Y, 24, FALSE) / 4</f>
        <v>489524</v>
      </c>
      <c r="Z81" s="46">
        <f>VLOOKUP(VALUE(LEFT($A81, 4)), 'Raw Annual Revenue'!$A:Z, 25, FALSE) / 4</f>
        <v>48698.38965</v>
      </c>
      <c r="AA81" s="46">
        <f>VLOOKUP(VALUE(LEFT($A81, 4)), 'Raw Annual Revenue'!$A:AA, 26, FALSE) / 4</f>
        <v>9266.25</v>
      </c>
      <c r="AB81" s="46"/>
      <c r="AC81" s="46">
        <f>VLOOKUP(VALUE(LEFT($A81, 4)), 'Raw Annual Revenue'!$A:AC, 28, FALSE) / 4</f>
        <v>0</v>
      </c>
    </row>
    <row r="82">
      <c r="A82" s="42" t="s">
        <v>109</v>
      </c>
      <c r="B82" s="50">
        <f>VLOOKUP(VALUE(LEFT(A82, 4)), 'Raw Annual Revenue'!A:B, 2, FALSE) / 4
</f>
        <v>413894</v>
      </c>
      <c r="C82" s="54">
        <f>IFERROR(__xludf.DUMMYFUNCTION("IMPORTRANGE(""https://docs.google.com/spreadsheets/d/1bozxp9FwhaCNzy-RRGPVPfVYTttO4PUGDdaFvbz-Ue0/edit?gid=1870218791#gid=1870218791"", ""Rev vs Mktg &amp; Mktg Mix!C"" &amp; ROW(C20))
"),2348.0)</f>
        <v>2348</v>
      </c>
      <c r="D82" s="54">
        <f>IFERROR(__xludf.DUMMYFUNCTION("IMPORTRANGE(""https://docs.google.com/spreadsheets/d/1bozxp9FwhaCNzy-RRGPVPfVYTttO4PUGDdaFvbz-Ue0/edit?gid=1870218791#gid=1870218791"", ""Rev vs Mktg &amp; Mktg Mix!D"" &amp; ROW(D20))
"),2093.0)</f>
        <v>2093</v>
      </c>
      <c r="E82" s="54">
        <f>IFERROR(__xludf.DUMMYFUNCTION("IMPORTRANGE(""https://docs.google.com/spreadsheets/d/1bozxp9FwhaCNzy-RRGPVPfVYTttO4PUGDdaFvbz-Ue0/edit?gid=1870218791#gid=1870218791"", ""Rev vs Mktg &amp; Mktg Mix!E"" &amp; ROW(E20))
"),746.0)</f>
        <v>746</v>
      </c>
      <c r="F82" s="54">
        <f>IFERROR(__xludf.DUMMYFUNCTION("IMPORTRANGE(""https://docs.google.com/spreadsheets/d/1bozxp9FwhaCNzy-RRGPVPfVYTttO4PUGDdaFvbz-Ue0/edit?gid=1870218791#gid=1870218791"", ""Rev vs Mktg &amp; Mktg Mix!F"" &amp; ROW(F20))
"),316.0)</f>
        <v>316</v>
      </c>
      <c r="G82" s="54">
        <f>IFERROR(__xludf.DUMMYFUNCTION("IMPORTRANGE(""https://docs.google.com/spreadsheets/d/1bozxp9FwhaCNzy-RRGPVPfVYTttO4PUGDdaFvbz-Ue0/edit?gid=1870218791#gid=1870218791"", ""Rev vs Mktg &amp; Mktg Mix!G"" &amp; ROW(I20))
"),169.0)</f>
        <v>169</v>
      </c>
      <c r="H82" s="46">
        <f>VLOOKUP(VALUE(LEFT(A85, 4)), 'Raw Annual Revenue'!A:H, 8, FALSE) / 4</f>
        <v>130046.25</v>
      </c>
      <c r="I82" s="54">
        <f>IFERROR(__xludf.DUMMYFUNCTION("IMPORTRANGE(""https://docs.google.com/spreadsheets/d/1bozxp9FwhaCNzy-RRGPVPfVYTttO4PUGDdaFvbz-Ue0/edit?gid=1870218791#gid=1870218791"", ""Rev vs Mktg &amp; Mktg Mix!I"" &amp; ROW(K20))
"),111.0)</f>
        <v>111</v>
      </c>
      <c r="J82" s="54">
        <f>IFERROR(__xludf.DUMMYFUNCTION("IMPORTRANGE(""https://docs.google.com/spreadsheets/d/1bozxp9FwhaCNzy-RRGPVPfVYTttO4PUGDdaFvbz-Ue0/edit?gid=1870218791#gid=1870218791"", ""Rev vs Mktg &amp; Mktg Mix!J"" &amp; ROW(J20))
"),123.0)</f>
        <v>123</v>
      </c>
      <c r="K82" s="43"/>
      <c r="L82" s="54">
        <f>IFERROR(__xludf.DUMMYFUNCTION("IMPORTRANGE(""https://docs.google.com/spreadsheets/d/1bozxp9FwhaCNzy-RRGPVPfVYTttO4PUGDdaFvbz-Ue0/edit?gid=1870218791#gid=1870218791"", ""Rev vs Mktg &amp; Mktg Mix!L"" &amp; ROW(N20))
"),123.92852592959991)</f>
        <v>123.9285259</v>
      </c>
      <c r="M82" s="43"/>
      <c r="N82" s="57">
        <f>IFERROR(__xludf.DUMMYFUNCTION("IMPORTRANGE(""https://docs.google.com/spreadsheets/d/1bozxp9FwhaCNzy-RRGPVPfVYTttO4PUGDdaFvbz-Ue0/edit?gid=1870218791#gid=1870218791"", ""Rev vs Mktg &amp; Mktg Mix!N"" &amp; ROW(N20))
"),2.055)</f>
        <v>2.055</v>
      </c>
      <c r="O82" s="47">
        <f>VLOOKUP(VALUE(LEFT(A84, 4)), 'Raw Annual Revenue'!A:O, 15, FALSE) / 4
</f>
        <v>39747.75</v>
      </c>
      <c r="P82" s="43"/>
      <c r="Q82" s="43"/>
      <c r="R82" s="43"/>
      <c r="S82" s="46">
        <f>VLOOKUP(VALUE(LEFT(A82, 4)), 'Raw Annual Revenue'!A:S, 18, FALSE) / 4</f>
        <v>0</v>
      </c>
      <c r="T82" s="45">
        <f>VLOOKUP(VALUE(LEFT(A85, 4)), 'Raw Annual Revenue'!A:T, 19, FALSE) / 4</f>
        <v>77603.75</v>
      </c>
      <c r="U82" s="43"/>
      <c r="V82" s="43"/>
      <c r="W82" s="43"/>
      <c r="X82" s="45">
        <f>VLOOKUP(VALUE(LEFT($A84, 4)), 'Raw Annual Revenue'!$A:X, 23, FALSE) / 4
</f>
        <v>0</v>
      </c>
      <c r="Y82" s="46">
        <f>VLOOKUP(VALUE(LEFT(A82, 4)), 'Raw Annual Revenue'!A:Y, 24, FALSE) / 4</f>
        <v>489524</v>
      </c>
      <c r="Z82" s="46">
        <f>VLOOKUP(VALUE(LEFT($A82, 4)), 'Raw Annual Revenue'!$A:Z, 25, FALSE) / 4</f>
        <v>48698.38965</v>
      </c>
      <c r="AA82" s="46">
        <f>VLOOKUP(VALUE(LEFT($A82, 4)), 'Raw Annual Revenue'!$A:AA, 26, FALSE) / 4</f>
        <v>9266.25</v>
      </c>
      <c r="AB82" s="46"/>
      <c r="AC82" s="46">
        <f>VLOOKUP(VALUE(LEFT($A82, 4)), 'Raw Annual Revenue'!$A:AC, 28, FALSE) / 4</f>
        <v>0</v>
      </c>
    </row>
    <row r="83">
      <c r="A83" s="42" t="s">
        <v>110</v>
      </c>
      <c r="B83" s="50">
        <f>VLOOKUP(VALUE(LEFT(A83, 4)), 'Raw Annual Revenue'!A:B, 2, FALSE) / 4
</f>
        <v>640430.25</v>
      </c>
      <c r="C83" s="54">
        <f>IFERROR(__xludf.DUMMYFUNCTION("IMPORTRANGE(""https://docs.google.com/spreadsheets/d/1bozxp9FwhaCNzy-RRGPVPfVYTttO4PUGDdaFvbz-Ue0/edit?gid=1870218791#gid=1870218791"", ""Rev vs Mktg &amp; Mktg Mix!C"" &amp; ROW(C21))
"),2419.404)</f>
        <v>2419.404</v>
      </c>
      <c r="D83" s="54">
        <f>IFERROR(__xludf.DUMMYFUNCTION("IMPORTRANGE(""https://docs.google.com/spreadsheets/d/1bozxp9FwhaCNzy-RRGPVPfVYTttO4PUGDdaFvbz-Ue0/edit?gid=1870218791#gid=1870218791"", ""Rev vs Mktg &amp; Mktg Mix!D"" &amp; ROW(D21))
"),2189.0)</f>
        <v>2189</v>
      </c>
      <c r="E83" s="54">
        <f>IFERROR(__xludf.DUMMYFUNCTION("IMPORTRANGE(""https://docs.google.com/spreadsheets/d/1bozxp9FwhaCNzy-RRGPVPfVYTttO4PUGDdaFvbz-Ue0/edit?gid=1870218791#gid=1870218791"", ""Rev vs Mktg &amp; Mktg Mix!E"" &amp; ROW(E21))
"),891.0)</f>
        <v>891</v>
      </c>
      <c r="F83" s="54">
        <f>IFERROR(__xludf.DUMMYFUNCTION("IMPORTRANGE(""https://docs.google.com/spreadsheets/d/1bozxp9FwhaCNzy-RRGPVPfVYTttO4PUGDdaFvbz-Ue0/edit?gid=1870218791#gid=1870218791"", ""Rev vs Mktg &amp; Mktg Mix!F"" &amp; ROW(F21))
"),372.0)</f>
        <v>372</v>
      </c>
      <c r="G83" s="54">
        <f>IFERROR(__xludf.DUMMYFUNCTION("IMPORTRANGE(""https://docs.google.com/spreadsheets/d/1bozxp9FwhaCNzy-RRGPVPfVYTttO4PUGDdaFvbz-Ue0/edit?gid=1870218791#gid=1870218791"", ""Rev vs Mktg &amp; Mktg Mix!G"" &amp; ROW(I21))
"),267.644)</f>
        <v>267.644</v>
      </c>
      <c r="H83" s="46">
        <f>VLOOKUP(VALUE(LEFT(A86, 4)), 'Raw Annual Revenue'!A:H, 8, FALSE) / 4</f>
        <v>130046.25</v>
      </c>
      <c r="I83" s="54">
        <f>IFERROR(__xludf.DUMMYFUNCTION("IMPORTRANGE(""https://docs.google.com/spreadsheets/d/1bozxp9FwhaCNzy-RRGPVPfVYTttO4PUGDdaFvbz-Ue0/edit?gid=1870218791#gid=1870218791"", ""Rev vs Mktg &amp; Mktg Mix!I"" &amp; ROW(K21))
"),124.999)</f>
        <v>124.999</v>
      </c>
      <c r="J83" s="54">
        <f>IFERROR(__xludf.DUMMYFUNCTION("IMPORTRANGE(""https://docs.google.com/spreadsheets/d/1bozxp9FwhaCNzy-RRGPVPfVYTttO4PUGDdaFvbz-Ue0/edit?gid=1870218791#gid=1870218791"", ""Rev vs Mktg &amp; Mktg Mix!J"" &amp; ROW(J21))
"),120.033)</f>
        <v>120.033</v>
      </c>
      <c r="K83" s="43"/>
      <c r="L83" s="54">
        <f>IFERROR(__xludf.DUMMYFUNCTION("IMPORTRANGE(""https://docs.google.com/spreadsheets/d/1bozxp9FwhaCNzy-RRGPVPfVYTttO4PUGDdaFvbz-Ue0/edit?gid=1870218791#gid=1870218791"", ""Rev vs Mktg &amp; Mktg Mix!L"" &amp; ROW(N21))
"),124.4476681476)</f>
        <v>124.4476681</v>
      </c>
      <c r="M83" s="43"/>
      <c r="N83" s="57">
        <f>IFERROR(__xludf.DUMMYFUNCTION("IMPORTRANGE(""https://docs.google.com/spreadsheets/d/1bozxp9FwhaCNzy-RRGPVPfVYTttO4PUGDdaFvbz-Ue0/edit?gid=1870218791#gid=1870218791"", ""Rev vs Mktg &amp; Mktg Mix!N"" &amp; ROW(N21))
"),2.656)</f>
        <v>2.656</v>
      </c>
      <c r="O83" s="47">
        <f>VLOOKUP(VALUE(LEFT(A85, 4)), 'Raw Annual Revenue'!A:O, 15, FALSE) / 4
</f>
        <v>39747.75</v>
      </c>
      <c r="P83" s="43"/>
      <c r="Q83" s="43"/>
      <c r="R83" s="43"/>
      <c r="S83" s="46">
        <f>VLOOKUP(VALUE(LEFT(A83, 4)), 'Raw Annual Revenue'!A:S, 18, FALSE) / 4</f>
        <v>0</v>
      </c>
      <c r="T83" s="45">
        <f>VLOOKUP(VALUE(LEFT(A86, 4)), 'Raw Annual Revenue'!A:T, 19, FALSE) / 4</f>
        <v>77603.75</v>
      </c>
      <c r="U83" s="43"/>
      <c r="V83" s="43"/>
      <c r="W83" s="43"/>
      <c r="X83" s="45">
        <f>VLOOKUP(VALUE(LEFT($A85, 4)), 'Raw Annual Revenue'!$A:X, 23, FALSE) / 4
</f>
        <v>0</v>
      </c>
      <c r="Y83" s="46">
        <f>VLOOKUP(VALUE(LEFT(A83, 4)), 'Raw Annual Revenue'!A:Y, 24, FALSE) / 4</f>
        <v>509196.75</v>
      </c>
      <c r="Z83" s="46">
        <f>VLOOKUP(VALUE(LEFT($A83, 4)), 'Raw Annual Revenue'!$A:Z, 25, FALSE) / 4</f>
        <v>72355.09586</v>
      </c>
      <c r="AA83" s="46">
        <f>VLOOKUP(VALUE(LEFT($A83, 4)), 'Raw Annual Revenue'!$A:AA, 26, FALSE) / 4</f>
        <v>12384</v>
      </c>
      <c r="AB83" s="46">
        <f>VLOOKUP(VALUE(LEFT($A83, 4)), 'Raw Annual Revenue'!$A:AB, 27, FALSE) / 4</f>
        <v>215295</v>
      </c>
      <c r="AC83" s="46">
        <f>VLOOKUP(VALUE(LEFT($A83, 4)), 'Raw Annual Revenue'!$A:AC, 28, FALSE) / 4</f>
        <v>12071.5</v>
      </c>
    </row>
    <row r="84">
      <c r="A84" s="42" t="s">
        <v>111</v>
      </c>
      <c r="B84" s="50">
        <f>VLOOKUP(VALUE(LEFT(A84, 4)), 'Raw Annual Revenue'!A:B, 2, FALSE) / 4
</f>
        <v>640430.25</v>
      </c>
      <c r="C84" s="54">
        <f>IFERROR(__xludf.DUMMYFUNCTION("IMPORTRANGE(""https://docs.google.com/spreadsheets/d/1bozxp9FwhaCNzy-RRGPVPfVYTttO4PUGDdaFvbz-Ue0/edit?gid=1870218791#gid=1870218791"", ""Rev vs Mktg &amp; Mktg Mix!C"" &amp; ROW(C22))
"),3024.556)</f>
        <v>3024.556</v>
      </c>
      <c r="D84" s="54">
        <f>IFERROR(__xludf.DUMMYFUNCTION("IMPORTRANGE(""https://docs.google.com/spreadsheets/d/1bozxp9FwhaCNzy-RRGPVPfVYTttO4PUGDdaFvbz-Ue0/edit?gid=1870218791#gid=1870218791"", ""Rev vs Mktg &amp; Mktg Mix!D"" &amp; ROW(D22))
"),2586.0)</f>
        <v>2586</v>
      </c>
      <c r="E84" s="54">
        <f>IFERROR(__xludf.DUMMYFUNCTION("IMPORTRANGE(""https://docs.google.com/spreadsheets/d/1bozxp9FwhaCNzy-RRGPVPfVYTttO4PUGDdaFvbz-Ue0/edit?gid=1870218791#gid=1870218791"", ""Rev vs Mktg &amp; Mktg Mix!E"" &amp; ROW(E22))
"),953.0)</f>
        <v>953</v>
      </c>
      <c r="F84" s="54">
        <f>IFERROR(__xludf.DUMMYFUNCTION("IMPORTRANGE(""https://docs.google.com/spreadsheets/d/1bozxp9FwhaCNzy-RRGPVPfVYTttO4PUGDdaFvbz-Ue0/edit?gid=1870218791#gid=1870218791"", ""Rev vs Mktg &amp; Mktg Mix!F"" &amp; ROW(F22))
"),424.0)</f>
        <v>424</v>
      </c>
      <c r="G84" s="54">
        <f>IFERROR(__xludf.DUMMYFUNCTION("IMPORTRANGE(""https://docs.google.com/spreadsheets/d/1bozxp9FwhaCNzy-RRGPVPfVYTttO4PUGDdaFvbz-Ue0/edit?gid=1870218791#gid=1870218791"", ""Rev vs Mktg &amp; Mktg Mix!G"" &amp; ROW(I22))
"),298.336)</f>
        <v>298.336</v>
      </c>
      <c r="H84" s="51">
        <f>IFERROR(__xludf.DUMMYFUNCTION("IMPORTRANGE(""https://docs.google.com/spreadsheets/d/1bozxp9FwhaCNzy-RRGPVPfVYTttO4PUGDdaFvbz-Ue0/edit?gid=1870218791#gid=1870218791"", ""Rev vs Mktg &amp; Mktg Mix!H"" &amp; ROW(H22))
"),148.06)</f>
        <v>148.06</v>
      </c>
      <c r="I84" s="54">
        <f>IFERROR(__xludf.DUMMYFUNCTION("IMPORTRANGE(""https://docs.google.com/spreadsheets/d/1bozxp9FwhaCNzy-RRGPVPfVYTttO4PUGDdaFvbz-Ue0/edit?gid=1870218791#gid=1870218791"", ""Rev vs Mktg &amp; Mktg Mix!I"" &amp; ROW(K22))
"),123.403)</f>
        <v>123.403</v>
      </c>
      <c r="J84" s="54">
        <f>IFERROR(__xludf.DUMMYFUNCTION("IMPORTRANGE(""https://docs.google.com/spreadsheets/d/1bozxp9FwhaCNzy-RRGPVPfVYTttO4PUGDdaFvbz-Ue0/edit?gid=1870218791#gid=1870218791"", ""Rev vs Mktg &amp; Mktg Mix!J"" &amp; ROW(J22))
"),192.056)</f>
        <v>192.056</v>
      </c>
      <c r="K84" s="43"/>
      <c r="L84" s="54">
        <f>IFERROR(__xludf.DUMMYFUNCTION("IMPORTRANGE(""https://docs.google.com/spreadsheets/d/1bozxp9FwhaCNzy-RRGPVPfVYTttO4PUGDdaFvbz-Ue0/edit?gid=1870218791#gid=1870218791"", ""Rev vs Mktg &amp; Mktg Mix!L"" &amp; ROW(N22))
"),152.9547692232)</f>
        <v>152.9547692</v>
      </c>
      <c r="M84" s="43"/>
      <c r="N84" s="57">
        <f>IFERROR(__xludf.DUMMYFUNCTION("IMPORTRANGE(""https://docs.google.com/spreadsheets/d/1bozxp9FwhaCNzy-RRGPVPfVYTttO4PUGDdaFvbz-Ue0/edit?gid=1870218791#gid=1870218791"", ""Rev vs Mktg &amp; Mktg Mix!N"" &amp; ROW(N22))
"),3.011)</f>
        <v>3.011</v>
      </c>
      <c r="O84" s="47">
        <f>VLOOKUP(VALUE(LEFT(A86, 4)), 'Raw Annual Revenue'!A:O, 15, FALSE) / 4
</f>
        <v>39747.75</v>
      </c>
      <c r="P84" s="43"/>
      <c r="Q84" s="57"/>
      <c r="R84" s="57"/>
      <c r="S84" s="46">
        <f>VLOOKUP(VALUE(LEFT(A84, 4)), 'Raw Annual Revenue'!A:S, 18, FALSE) / 4</f>
        <v>0</v>
      </c>
      <c r="T84" s="45">
        <f>VLOOKUP(VALUE(LEFT(A87, 4)), 'Raw Annual Revenue'!A:T, 19, FALSE) / 4</f>
        <v>83272.25</v>
      </c>
      <c r="U84" s="43"/>
      <c r="V84" s="43"/>
      <c r="W84" s="43"/>
      <c r="X84" s="45">
        <f>VLOOKUP(VALUE(LEFT($A86, 4)), 'Raw Annual Revenue'!$A:X, 23, FALSE) / 4
</f>
        <v>0</v>
      </c>
      <c r="Y84" s="46">
        <f>VLOOKUP(VALUE(LEFT(A84, 4)), 'Raw Annual Revenue'!A:Y, 24, FALSE) / 4</f>
        <v>509196.75</v>
      </c>
      <c r="Z84" s="46">
        <f>VLOOKUP(VALUE(LEFT($A84, 4)), 'Raw Annual Revenue'!$A:Z, 25, FALSE) / 4</f>
        <v>72355.09586</v>
      </c>
      <c r="AA84" s="46">
        <f>VLOOKUP(VALUE(LEFT($A84, 4)), 'Raw Annual Revenue'!$A:AA, 26, FALSE) / 4</f>
        <v>12384</v>
      </c>
      <c r="AB84" s="46">
        <f>VLOOKUP(VALUE(LEFT($A84, 4)), 'Raw Annual Revenue'!$A:AB, 27, FALSE) / 4</f>
        <v>215295</v>
      </c>
      <c r="AC84" s="46">
        <f>VLOOKUP(VALUE(LEFT($A84, 4)), 'Raw Annual Revenue'!$A:AC, 28, FALSE) / 4</f>
        <v>12071.5</v>
      </c>
    </row>
    <row r="85">
      <c r="A85" s="42" t="s">
        <v>112</v>
      </c>
      <c r="B85" s="50">
        <f>VLOOKUP(VALUE(LEFT(A85, 4)), 'Raw Annual Revenue'!A:B, 2, FALSE) / 4
</f>
        <v>640430.25</v>
      </c>
      <c r="C85" s="54">
        <f>IFERROR(__xludf.DUMMYFUNCTION("IMPORTRANGE(""https://docs.google.com/spreadsheets/d/1bozxp9FwhaCNzy-RRGPVPfVYTttO4PUGDdaFvbz-Ue0/edit?gid=1870218791#gid=1870218791"", ""Rev vs Mktg &amp; Mktg Mix!C"" &amp; ROW(C23))
"),4434.029)</f>
        <v>4434.029</v>
      </c>
      <c r="D85" s="54">
        <f>IFERROR(__xludf.DUMMYFUNCTION("IMPORTRANGE(""https://docs.google.com/spreadsheets/d/1bozxp9FwhaCNzy-RRGPVPfVYTttO4PUGDdaFvbz-Ue0/edit?gid=1870218791#gid=1870218791"", ""Rev vs Mktg &amp; Mktg Mix!D"" &amp; ROW(D23))
"),2966.0)</f>
        <v>2966</v>
      </c>
      <c r="E85" s="54">
        <f>IFERROR(__xludf.DUMMYFUNCTION("IMPORTRANGE(""https://docs.google.com/spreadsheets/d/1bozxp9FwhaCNzy-RRGPVPfVYTttO4PUGDdaFvbz-Ue0/edit?gid=1870218791#gid=1870218791"", ""Rev vs Mktg &amp; Mktg Mix!E"" &amp; ROW(E23))
"),1196.0)</f>
        <v>1196</v>
      </c>
      <c r="F85" s="54">
        <f>IFERROR(__xludf.DUMMYFUNCTION("IMPORTRANGE(""https://docs.google.com/spreadsheets/d/1bozxp9FwhaCNzy-RRGPVPfVYTttO4PUGDdaFvbz-Ue0/edit?gid=1870218791#gid=1870218791"", ""Rev vs Mktg &amp; Mktg Mix!F"" &amp; ROW(F23))
"),439.0)</f>
        <v>439</v>
      </c>
      <c r="G85" s="54">
        <f>IFERROR(__xludf.DUMMYFUNCTION("IMPORTRANGE(""https://docs.google.com/spreadsheets/d/1bozxp9FwhaCNzy-RRGPVPfVYTttO4PUGDdaFvbz-Ue0/edit?gid=1870218791#gid=1870218791"", ""Rev vs Mktg &amp; Mktg Mix!G"" &amp; ROW(I23))
"),287.86)</f>
        <v>287.86</v>
      </c>
      <c r="H85" s="58">
        <f>IFERROR(__xludf.DUMMYFUNCTION("IMPORTRANGE(""https://docs.google.com/spreadsheets/d/1bozxp9FwhaCNzy-RRGPVPfVYTttO4PUGDdaFvbz-Ue0/edit?gid=1870218791#gid=1870218791"", ""Rev vs Mktg &amp; Mktg Mix!H"" &amp; ROW(H23))
"),142.12)</f>
        <v>142.12</v>
      </c>
      <c r="I85" s="54">
        <f>IFERROR(__xludf.DUMMYFUNCTION("IMPORTRANGE(""https://docs.google.com/spreadsheets/d/1bozxp9FwhaCNzy-RRGPVPfVYTttO4PUGDdaFvbz-Ue0/edit?gid=1870218791#gid=1870218791"", ""Rev vs Mktg &amp; Mktg Mix!I"" &amp; ROW(K23))
"),131.468)</f>
        <v>131.468</v>
      </c>
      <c r="J85" s="54">
        <f>IFERROR(__xludf.DUMMYFUNCTION("IMPORTRANGE(""https://docs.google.com/spreadsheets/d/1bozxp9FwhaCNzy-RRGPVPfVYTttO4PUGDdaFvbz-Ue0/edit?gid=1870218791#gid=1870218791"", ""Rev vs Mktg &amp; Mktg Mix!J"" &amp; ROW(J23))
"),152.917)</f>
        <v>152.917</v>
      </c>
      <c r="K85" s="43"/>
      <c r="L85" s="54">
        <f>IFERROR(__xludf.DUMMYFUNCTION("IMPORTRANGE(""https://docs.google.com/spreadsheets/d/1bozxp9FwhaCNzy-RRGPVPfVYTttO4PUGDdaFvbz-Ue0/edit?gid=1870218791#gid=1870218791"", ""Rev vs Mktg &amp; Mktg Mix!L"" &amp; ROW(N23))
"),130.421956707)</f>
        <v>130.4219567</v>
      </c>
      <c r="M85" s="43"/>
      <c r="N85" s="57">
        <f>IFERROR(__xludf.DUMMYFUNCTION("IMPORTRANGE(""https://docs.google.com/spreadsheets/d/1bozxp9FwhaCNzy-RRGPVPfVYTttO4PUGDdaFvbz-Ue0/edit?gid=1870218791#gid=1870218791"", ""Rev vs Mktg &amp; Mktg Mix!N"" &amp; ROW(N23))
"),3.249)</f>
        <v>3.249</v>
      </c>
      <c r="O85" s="47">
        <f>VLOOKUP(VALUE(LEFT(A87, 4)), 'Raw Annual Revenue'!A:O, 15, FALSE) / 4
</f>
        <v>140685</v>
      </c>
      <c r="P85" s="43"/>
      <c r="Q85" s="57"/>
      <c r="R85" s="57"/>
      <c r="S85" s="46">
        <f>VLOOKUP(VALUE(LEFT(A85, 4)), 'Raw Annual Revenue'!A:S, 18, FALSE) / 4</f>
        <v>0</v>
      </c>
      <c r="T85" s="45">
        <f>VLOOKUP(VALUE(LEFT(A88, 4)), 'Raw Annual Revenue'!A:T, 19, FALSE) / 4</f>
        <v>83272.25</v>
      </c>
      <c r="U85" s="43"/>
      <c r="V85" s="43"/>
      <c r="W85" s="43"/>
      <c r="X85" s="45">
        <f>VLOOKUP(VALUE(LEFT($A87, 4)), 'Raw Annual Revenue'!$A:X, 23, FALSE) / 4
</f>
        <v>0</v>
      </c>
      <c r="Y85" s="46">
        <f>VLOOKUP(VALUE(LEFT(A85, 4)), 'Raw Annual Revenue'!A:Y, 24, FALSE) / 4</f>
        <v>509196.75</v>
      </c>
      <c r="Z85" s="46">
        <f>VLOOKUP(VALUE(LEFT($A85, 4)), 'Raw Annual Revenue'!$A:Z, 25, FALSE) / 4</f>
        <v>72355.09586</v>
      </c>
      <c r="AA85" s="46">
        <f>VLOOKUP(VALUE(LEFT($A85, 4)), 'Raw Annual Revenue'!$A:AA, 26, FALSE) / 4</f>
        <v>12384</v>
      </c>
      <c r="AB85" s="46">
        <f>VLOOKUP(VALUE(LEFT($A85, 4)), 'Raw Annual Revenue'!$A:AB, 27, FALSE) / 4</f>
        <v>215295</v>
      </c>
      <c r="AC85" s="46">
        <f>VLOOKUP(VALUE(LEFT($A85, 4)), 'Raw Annual Revenue'!$A:AC, 28, FALSE) / 4</f>
        <v>12071.5</v>
      </c>
    </row>
    <row r="86">
      <c r="A86" s="42" t="s">
        <v>113</v>
      </c>
      <c r="B86" s="50">
        <f>VLOOKUP(VALUE(LEFT(A86, 4)), 'Raw Annual Revenue'!A:B, 2, FALSE) / 4
</f>
        <v>640430.25</v>
      </c>
      <c r="C86" s="54">
        <f>IFERROR(__xludf.DUMMYFUNCTION("IMPORTRANGE(""https://docs.google.com/spreadsheets/d/1bozxp9FwhaCNzy-RRGPVPfVYTttO4PUGDdaFvbz-Ue0/edit?gid=1870218791#gid=1870218791"", ""Rev vs Mktg &amp; Mktg Mix!C"" &amp; ROW(C24))
"),2803.0)</f>
        <v>2803</v>
      </c>
      <c r="D86" s="54">
        <f>IFERROR(__xludf.DUMMYFUNCTION("IMPORTRANGE(""https://docs.google.com/spreadsheets/d/1bozxp9FwhaCNzy-RRGPVPfVYTttO4PUGDdaFvbz-Ue0/edit?gid=1870218791#gid=1870218791"", ""Rev vs Mktg &amp; Mktg Mix!D"" &amp; ROW(D24))
"),2319.0)</f>
        <v>2319</v>
      </c>
      <c r="E86" s="54">
        <f>IFERROR(__xludf.DUMMYFUNCTION("IMPORTRANGE(""https://docs.google.com/spreadsheets/d/1bozxp9FwhaCNzy-RRGPVPfVYTttO4PUGDdaFvbz-Ue0/edit?gid=1870218791#gid=1870218791"", ""Rev vs Mktg &amp; Mktg Mix!E"" &amp; ROW(E24))
"),988.0)</f>
        <v>988</v>
      </c>
      <c r="F86" s="54">
        <f>IFERROR(__xludf.DUMMYFUNCTION("IMPORTRANGE(""https://docs.google.com/spreadsheets/d/1bozxp9FwhaCNzy-RRGPVPfVYTttO4PUGDdaFvbz-Ue0/edit?gid=1870218791#gid=1870218791"", ""Rev vs Mktg &amp; Mktg Mix!F"" &amp; ROW(F24))
"),321.0)</f>
        <v>321</v>
      </c>
      <c r="G86" s="54">
        <f>IFERROR(__xludf.DUMMYFUNCTION("IMPORTRANGE(""https://docs.google.com/spreadsheets/d/1bozxp9FwhaCNzy-RRGPVPfVYTttO4PUGDdaFvbz-Ue0/edit?gid=1870218791#gid=1870218791"", ""Rev vs Mktg &amp; Mktg Mix!G"" &amp; ROW(I24))
"),181.543)</f>
        <v>181.543</v>
      </c>
      <c r="H86" s="58">
        <f>IFERROR(__xludf.DUMMYFUNCTION("IMPORTRANGE(""https://docs.google.com/spreadsheets/d/1bozxp9FwhaCNzy-RRGPVPfVYTttO4PUGDdaFvbz-Ue0/edit?gid=1870218791#gid=1870218791"", ""Rev vs Mktg &amp; Mktg Mix!H"" &amp; ROW(H24))
"),125.29000000000002)</f>
        <v>125.29</v>
      </c>
      <c r="I86" s="54">
        <f>IFERROR(__xludf.DUMMYFUNCTION("IMPORTRANGE(""https://docs.google.com/spreadsheets/d/1bozxp9FwhaCNzy-RRGPVPfVYTttO4PUGDdaFvbz-Ue0/edit?gid=1870218791#gid=1870218791"", ""Rev vs Mktg &amp; Mktg Mix!I"" &amp; ROW(K24))
"),144.011)</f>
        <v>144.011</v>
      </c>
      <c r="J86" s="54">
        <f>IFERROR(__xludf.DUMMYFUNCTION("IMPORTRANGE(""https://docs.google.com/spreadsheets/d/1bozxp9FwhaCNzy-RRGPVPfVYTttO4PUGDdaFvbz-Ue0/edit?gid=1870218791#gid=1870218791"", ""Rev vs Mktg &amp; Mktg Mix!J"" &amp; ROW(J24))
"),172.477)</f>
        <v>172.477</v>
      </c>
      <c r="K86" s="43"/>
      <c r="L86" s="54">
        <f>IFERROR(__xludf.DUMMYFUNCTION("IMPORTRANGE(""https://docs.google.com/spreadsheets/d/1bozxp9FwhaCNzy-RRGPVPfVYTttO4PUGDdaFvbz-Ue0/edit?gid=1870218791#gid=1870218791"", ""Rev vs Mktg &amp; Mktg Mix!L"" &amp; ROW(N24))
"),154.11739319970002)</f>
        <v>154.1173932</v>
      </c>
      <c r="M86" s="43"/>
      <c r="N86" s="57">
        <f>IFERROR(__xludf.DUMMYFUNCTION("IMPORTRANGE(""https://docs.google.com/spreadsheets/d/1bozxp9FwhaCNzy-RRGPVPfVYTttO4PUGDdaFvbz-Ue0/edit?gid=1870218791#gid=1870218791"", ""Rev vs Mktg &amp; Mktg Mix!N"" &amp; ROW(N24))
"),2.923)</f>
        <v>2.923</v>
      </c>
      <c r="O86" s="47">
        <f>VLOOKUP(VALUE(LEFT(A88, 4)), 'Raw Annual Revenue'!A:O, 15, FALSE) / 4
</f>
        <v>140685</v>
      </c>
      <c r="P86" s="43"/>
      <c r="Q86" s="57"/>
      <c r="R86" s="57"/>
      <c r="S86" s="46">
        <f>VLOOKUP(VALUE(LEFT(A86, 4)), 'Raw Annual Revenue'!A:S, 18, FALSE) / 4</f>
        <v>0</v>
      </c>
      <c r="T86" s="45">
        <f>VLOOKUP(VALUE(LEFT(A89, 4)), 'Raw Annual Revenue'!A:T, 19, FALSE) / 4</f>
        <v>83272.25</v>
      </c>
      <c r="U86" s="43"/>
      <c r="V86" s="43"/>
      <c r="W86" s="43"/>
      <c r="X86" s="45">
        <f>VLOOKUP(VALUE(LEFT($A88, 4)), 'Raw Annual Revenue'!$A:X, 23, FALSE) / 4
</f>
        <v>0</v>
      </c>
      <c r="Y86" s="46">
        <f>VLOOKUP(VALUE(LEFT(A86, 4)), 'Raw Annual Revenue'!A:Y, 24, FALSE) / 4</f>
        <v>509196.75</v>
      </c>
      <c r="Z86" s="46">
        <f>VLOOKUP(VALUE(LEFT($A86, 4)), 'Raw Annual Revenue'!$A:Z, 25, FALSE) / 4</f>
        <v>72355.09586</v>
      </c>
      <c r="AA86" s="46">
        <f>VLOOKUP(VALUE(LEFT($A86, 4)), 'Raw Annual Revenue'!$A:AA, 26, FALSE) / 4</f>
        <v>12384</v>
      </c>
      <c r="AB86" s="46">
        <f>VLOOKUP(VALUE(LEFT($A86, 4)), 'Raw Annual Revenue'!$A:AB, 27, FALSE) / 4</f>
        <v>215295</v>
      </c>
      <c r="AC86" s="46">
        <f>VLOOKUP(VALUE(LEFT($A86, 4)), 'Raw Annual Revenue'!$A:AC, 28, FALSE) / 4</f>
        <v>12071.5</v>
      </c>
    </row>
    <row r="87">
      <c r="A87" s="42" t="s">
        <v>114</v>
      </c>
      <c r="B87" s="50">
        <f>VLOOKUP(VALUE(LEFT(A87, 4)), 'Raw Annual Revenue'!A:B, 2, FALSE) / 4
</f>
        <v>912996.25</v>
      </c>
      <c r="C87" s="54">
        <f>IFERROR(__xludf.DUMMYFUNCTION("IMPORTRANGE(""https://docs.google.com/spreadsheets/d/1bozxp9FwhaCNzy-RRGPVPfVYTttO4PUGDdaFvbz-Ue0/edit?gid=1870218791#gid=1870218791"", ""Rev vs Mktg &amp; Mktg Mix!C"" &amp; ROW(C25))
"),2928.201)</f>
        <v>2928.201</v>
      </c>
      <c r="D87" s="54">
        <f>IFERROR(__xludf.DUMMYFUNCTION("IMPORTRANGE(""https://docs.google.com/spreadsheets/d/1bozxp9FwhaCNzy-RRGPVPfVYTttO4PUGDdaFvbz-Ue0/edit?gid=1870218791#gid=1870218791"", ""Rev vs Mktg &amp; Mktg Mix!D"" &amp; ROW(D25))
"),2508.0)</f>
        <v>2508</v>
      </c>
      <c r="E87" s="54">
        <f>IFERROR(__xludf.DUMMYFUNCTION("IMPORTRANGE(""https://docs.google.com/spreadsheets/d/1bozxp9FwhaCNzy-RRGPVPfVYTttO4PUGDdaFvbz-Ue0/edit?gid=1870218791#gid=1870218791"", ""Rev vs Mktg &amp; Mktg Mix!E"" &amp; ROW(E25))
"),1079.0)</f>
        <v>1079</v>
      </c>
      <c r="F87" s="54">
        <f>IFERROR(__xludf.DUMMYFUNCTION("IMPORTRANGE(""https://docs.google.com/spreadsheets/d/1bozxp9FwhaCNzy-RRGPVPfVYTttO4PUGDdaFvbz-Ue0/edit?gid=1870218791#gid=1870218791"", ""Rev vs Mktg &amp; Mktg Mix!F"" &amp; ROW(F25))
"),378.0)</f>
        <v>378</v>
      </c>
      <c r="G87" s="54">
        <f>IFERROR(__xludf.DUMMYFUNCTION("IMPORTRANGE(""https://docs.google.com/spreadsheets/d/1bozxp9FwhaCNzy-RRGPVPfVYTttO4PUGDdaFvbz-Ue0/edit?gid=1870218791#gid=1870218791"", ""Rev vs Mktg &amp; Mktg Mix!G"" &amp; ROW(I25))
"),259.364)</f>
        <v>259.364</v>
      </c>
      <c r="H87" s="58">
        <f>IFERROR(__xludf.DUMMYFUNCTION("IMPORTRANGE(""https://docs.google.com/spreadsheets/d/1bozxp9FwhaCNzy-RRGPVPfVYTttO4PUGDdaFvbz-Ue0/edit?gid=1870218791#gid=1870218791"", ""Rev vs Mktg &amp; Mktg Mix!H"" &amp; ROW(H25))
"),154.22)</f>
        <v>154.22</v>
      </c>
      <c r="I87" s="54">
        <f>IFERROR(__xludf.DUMMYFUNCTION("IMPORTRANGE(""https://docs.google.com/spreadsheets/d/1bozxp9FwhaCNzy-RRGPVPfVYTttO4PUGDdaFvbz-Ue0/edit?gid=1870218791#gid=1870218791"", ""Rev vs Mktg &amp; Mktg Mix!I"" &amp; ROW(K25))
"),148.593)</f>
        <v>148.593</v>
      </c>
      <c r="J87" s="54">
        <f>IFERROR(__xludf.DUMMYFUNCTION("IMPORTRANGE(""https://docs.google.com/spreadsheets/d/1bozxp9FwhaCNzy-RRGPVPfVYTttO4PUGDdaFvbz-Ue0/edit?gid=1870218791#gid=1870218791"", ""Rev vs Mktg &amp; Mktg Mix!J"" &amp; ROW(J25))
"),157.806)</f>
        <v>157.806</v>
      </c>
      <c r="K87" s="43"/>
      <c r="L87" s="54">
        <f>IFERROR(__xludf.DUMMYFUNCTION("IMPORTRANGE(""https://docs.google.com/spreadsheets/d/1bozxp9FwhaCNzy-RRGPVPfVYTttO4PUGDdaFvbz-Ue0/edit?gid=1870218791#gid=1870218791"", ""Rev vs Mktg &amp; Mktg Mix!L"" &amp; ROW(N25))
"),128.4709752648)</f>
        <v>128.4709753</v>
      </c>
      <c r="M87" s="43"/>
      <c r="N87" s="57">
        <f>IFERROR(__xludf.DUMMYFUNCTION("IMPORTRANGE(""https://docs.google.com/spreadsheets/d/1bozxp9FwhaCNzy-RRGPVPfVYTttO4PUGDdaFvbz-Ue0/edit?gid=1870218791#gid=1870218791"", ""Rev vs Mktg &amp; Mktg Mix!N"" &amp; ROW(N25))
"),4.022)</f>
        <v>4.022</v>
      </c>
      <c r="O87" s="47">
        <f>VLOOKUP(VALUE(LEFT(A89, 4)), 'Raw Annual Revenue'!A:O, 15, FALSE) / 4
</f>
        <v>140685</v>
      </c>
      <c r="P87" s="43"/>
      <c r="Q87" s="57"/>
      <c r="R87" s="57"/>
      <c r="S87" s="46">
        <f>VLOOKUP(VALUE(LEFT(A87, 4)), 'Raw Annual Revenue'!A:S, 18, FALSE) / 4</f>
        <v>0</v>
      </c>
      <c r="T87" s="45">
        <f>VLOOKUP(VALUE(LEFT(A90, 4)), 'Raw Annual Revenue'!A:T, 19, FALSE) / 4</f>
        <v>83272.25</v>
      </c>
      <c r="U87" s="43"/>
      <c r="V87" s="43"/>
      <c r="W87" s="43"/>
      <c r="X87" s="45">
        <f>VLOOKUP(VALUE(LEFT($A89, 4)), 'Raw Annual Revenue'!$A:X, 23, FALSE) / 4
</f>
        <v>0</v>
      </c>
      <c r="Y87" s="46">
        <f>VLOOKUP(VALUE(LEFT(A87, 4)), 'Raw Annual Revenue'!A:Y, 24, FALSE) / 4</f>
        <v>540590</v>
      </c>
      <c r="Z87" s="46">
        <f>VLOOKUP(VALUE(LEFT($A87, 4)), 'Raw Annual Revenue'!$A:Z, 25, FALSE) / 4</f>
        <v>82990.80089</v>
      </c>
      <c r="AA87" s="46">
        <f>VLOOKUP(VALUE(LEFT($A87, 4)), 'Raw Annual Revenue'!$A:AA, 26, FALSE) / 4</f>
        <v>16488.25</v>
      </c>
      <c r="AB87" s="46">
        <f>VLOOKUP(VALUE(LEFT($A87, 4)), 'Raw Annual Revenue'!$A:AB, 27, FALSE) / 4</f>
        <v>308997.5</v>
      </c>
      <c r="AC87" s="46">
        <f>VLOOKUP(VALUE(LEFT($A87, 4)), 'Raw Annual Revenue'!$A:AC, 28, FALSE) / 4</f>
        <v>11662.5</v>
      </c>
    </row>
    <row r="88">
      <c r="A88" s="42" t="s">
        <v>115</v>
      </c>
      <c r="B88" s="50">
        <f>VLOOKUP(VALUE(LEFT(A88, 4)), 'Raw Annual Revenue'!A:B, 2, FALSE) / 4
</f>
        <v>912996.25</v>
      </c>
      <c r="C88" s="54">
        <f>IFERROR(__xludf.DUMMYFUNCTION("IMPORTRANGE(""https://docs.google.com/spreadsheets/d/1bozxp9FwhaCNzy-RRGPVPfVYTttO4PUGDdaFvbz-Ue0/edit?gid=1870218791#gid=1870218791"", ""Rev vs Mktg &amp; Mktg Mix!C"" &amp; ROW(C26))
"),3537.094)</f>
        <v>3537.094</v>
      </c>
      <c r="D88" s="54">
        <f>IFERROR(__xludf.DUMMYFUNCTION("IMPORTRANGE(""https://docs.google.com/spreadsheets/d/1bozxp9FwhaCNzy-RRGPVPfVYTttO4PUGDdaFvbz-Ue0/edit?gid=1870218791#gid=1870218791"", ""Rev vs Mktg &amp; Mktg Mix!D"" &amp; ROW(D26))
"),2880.0)</f>
        <v>2880</v>
      </c>
      <c r="E88" s="54">
        <f>IFERROR(__xludf.DUMMYFUNCTION("IMPORTRANGE(""https://docs.google.com/spreadsheets/d/1bozxp9FwhaCNzy-RRGPVPfVYTttO4PUGDdaFvbz-Ue0/edit?gid=1870218791#gid=1870218791"", ""Rev vs Mktg &amp; Mktg Mix!E"" &amp; ROW(E26))
"),1112.0)</f>
        <v>1112</v>
      </c>
      <c r="F88" s="54">
        <f>IFERROR(__xludf.DUMMYFUNCTION("IMPORTRANGE(""https://docs.google.com/spreadsheets/d/1bozxp9FwhaCNzy-RRGPVPfVYTttO4PUGDdaFvbz-Ue0/edit?gid=1870218791#gid=1870218791"", ""Rev vs Mktg &amp; Mktg Mix!F"" &amp; ROW(F26))
"),433.0)</f>
        <v>433</v>
      </c>
      <c r="G88" s="54">
        <f>IFERROR(__xludf.DUMMYFUNCTION("IMPORTRANGE(""https://docs.google.com/spreadsheets/d/1bozxp9FwhaCNzy-RRGPVPfVYTttO4PUGDdaFvbz-Ue0/edit?gid=1870218791#gid=1870218791"", ""Rev vs Mktg &amp; Mktg Mix!G"" &amp; ROW(I26))
"),234.999)</f>
        <v>234.999</v>
      </c>
      <c r="H88" s="58">
        <f>IFERROR(__xludf.DUMMYFUNCTION("IMPORTRANGE(""https://docs.google.com/spreadsheets/d/1bozxp9FwhaCNzy-RRGPVPfVYTttO4PUGDdaFvbz-Ue0/edit?gid=1870218791#gid=1870218791"", ""Rev vs Mktg &amp; Mktg Mix!H"" &amp; ROW(H26))
"),148.06)</f>
        <v>148.06</v>
      </c>
      <c r="I88" s="54">
        <f>IFERROR(__xludf.DUMMYFUNCTION("IMPORTRANGE(""https://docs.google.com/spreadsheets/d/1bozxp9FwhaCNzy-RRGPVPfVYTttO4PUGDdaFvbz-Ue0/edit?gid=1870218791#gid=1870218791"", ""Rev vs Mktg &amp; Mktg Mix!I"" &amp; ROW(K26))
"),128.259)</f>
        <v>128.259</v>
      </c>
      <c r="J88" s="54">
        <f>IFERROR(__xludf.DUMMYFUNCTION("IMPORTRANGE(""https://docs.google.com/spreadsheets/d/1bozxp9FwhaCNzy-RRGPVPfVYTttO4PUGDdaFvbz-Ue0/edit?gid=1870218791#gid=1870218791"", ""Rev vs Mktg &amp; Mktg Mix!J"" &amp; ROW(J26))
"),137.41)</f>
        <v>137.41</v>
      </c>
      <c r="K88" s="43"/>
      <c r="L88" s="54">
        <f>IFERROR(__xludf.DUMMYFUNCTION("IMPORTRANGE(""https://docs.google.com/spreadsheets/d/1bozxp9FwhaCNzy-RRGPVPfVYTttO4PUGDdaFvbz-Ue0/edit?gid=1870218791#gid=1870218791"", ""Rev vs Mktg &amp; Mktg Mix!L"" &amp; ROW(N26))
"),141.59568764879998)</f>
        <v>141.5956876</v>
      </c>
      <c r="M88" s="43"/>
      <c r="N88" s="57">
        <f>IFERROR(__xludf.DUMMYFUNCTION("IMPORTRANGE(""https://docs.google.com/spreadsheets/d/1bozxp9FwhaCNzy-RRGPVPfVYTttO4PUGDdaFvbz-Ue0/edit?gid=1870218791#gid=1870218791"", ""Rev vs Mktg &amp; Mktg Mix!N"" &amp; ROW(N26))
"),4.345)</f>
        <v>4.345</v>
      </c>
      <c r="O88" s="47">
        <f>VLOOKUP(VALUE(LEFT(A90, 4)), 'Raw Annual Revenue'!A:O, 15, FALSE) / 4
</f>
        <v>140685</v>
      </c>
      <c r="P88" s="43"/>
      <c r="Q88" s="57"/>
      <c r="R88" s="57"/>
      <c r="S88" s="46">
        <f>VLOOKUP(VALUE(LEFT(A88, 4)), 'Raw Annual Revenue'!A:S, 18, FALSE) / 4</f>
        <v>0</v>
      </c>
      <c r="T88" s="45">
        <f>VLOOKUP(VALUE(LEFT(A91, 4)), 'Raw Annual Revenue'!A:T, 19, FALSE) / 4</f>
        <v>98029</v>
      </c>
      <c r="U88" s="43"/>
      <c r="V88" s="43"/>
      <c r="W88" s="43"/>
      <c r="X88" s="45">
        <f>VLOOKUP(VALUE(LEFT($A90, 4)), 'Raw Annual Revenue'!$A:X, 23, FALSE) / 4
</f>
        <v>0</v>
      </c>
      <c r="Y88" s="46">
        <f>VLOOKUP(VALUE(LEFT(A88, 4)), 'Raw Annual Revenue'!A:Y, 24, FALSE) / 4</f>
        <v>540590</v>
      </c>
      <c r="Z88" s="46">
        <f>VLOOKUP(VALUE(LEFT($A88, 4)), 'Raw Annual Revenue'!$A:Z, 25, FALSE) / 4</f>
        <v>82990.80089</v>
      </c>
      <c r="AA88" s="46">
        <f>VLOOKUP(VALUE(LEFT($A88, 4)), 'Raw Annual Revenue'!$A:AA, 26, FALSE) / 4</f>
        <v>16488.25</v>
      </c>
      <c r="AB88" s="46">
        <f>VLOOKUP(VALUE(LEFT($A88, 4)), 'Raw Annual Revenue'!$A:AB, 27, FALSE) / 4</f>
        <v>308997.5</v>
      </c>
      <c r="AC88" s="46">
        <f>VLOOKUP(VALUE(LEFT($A88, 4)), 'Raw Annual Revenue'!$A:AC, 28, FALSE) / 4</f>
        <v>11662.5</v>
      </c>
    </row>
    <row r="89">
      <c r="A89" s="42" t="s">
        <v>116</v>
      </c>
      <c r="B89" s="50">
        <f>VLOOKUP(VALUE(LEFT(A89, 4)), 'Raw Annual Revenue'!A:B, 2, FALSE) / 4
</f>
        <v>912996.25</v>
      </c>
      <c r="C89" s="54">
        <f>IFERROR(__xludf.DUMMYFUNCTION("IMPORTRANGE(""https://docs.google.com/spreadsheets/d/1bozxp9FwhaCNzy-RRGPVPfVYTttO4PUGDdaFvbz-Ue0/edit?gid=1870218791#gid=1870218791"", ""Rev vs Mktg &amp; Mktg Mix!C"" &amp; ROW(C27))
"),4849.09)</f>
        <v>4849.09</v>
      </c>
      <c r="D89" s="54">
        <f>IFERROR(__xludf.DUMMYFUNCTION("IMPORTRANGE(""https://docs.google.com/spreadsheets/d/1bozxp9FwhaCNzy-RRGPVPfVYTttO4PUGDdaFvbz-Ue0/edit?gid=1870218791#gid=1870218791"", ""Rev vs Mktg &amp; Mktg Mix!D"" &amp; ROW(D27))
"),3276.0)</f>
        <v>3276</v>
      </c>
      <c r="E89" s="54">
        <f>IFERROR(__xludf.DUMMYFUNCTION("IMPORTRANGE(""https://docs.google.com/spreadsheets/d/1bozxp9FwhaCNzy-RRGPVPfVYTttO4PUGDdaFvbz-Ue0/edit?gid=1870218791#gid=1870218791"", ""Rev vs Mktg &amp; Mktg Mix!E"" &amp; ROW(E27))
"),1368.0)</f>
        <v>1368</v>
      </c>
      <c r="F89" s="54">
        <f>IFERROR(__xludf.DUMMYFUNCTION("IMPORTRANGE(""https://docs.google.com/spreadsheets/d/1bozxp9FwhaCNzy-RRGPVPfVYTttO4PUGDdaFvbz-Ue0/edit?gid=1870218791#gid=1870218791"", ""Rev vs Mktg &amp; Mktg Mix!F"" &amp; ROW(F27))
"),458.0)</f>
        <v>458</v>
      </c>
      <c r="G89" s="54">
        <f>IFERROR(__xludf.DUMMYFUNCTION("IMPORTRANGE(""https://docs.google.com/spreadsheets/d/1bozxp9FwhaCNzy-RRGPVPfVYTttO4PUGDdaFvbz-Ue0/edit?gid=1870218791#gid=1870218791"", ""Rev vs Mktg &amp; Mktg Mix!G"" &amp; ROW(I27))
"),253.675)</f>
        <v>253.675</v>
      </c>
      <c r="H89" s="58">
        <f>IFERROR(__xludf.DUMMYFUNCTION("IMPORTRANGE(""https://docs.google.com/spreadsheets/d/1bozxp9FwhaCNzy-RRGPVPfVYTttO4PUGDdaFvbz-Ue0/edit?gid=1870218791#gid=1870218791"", ""Rev vs Mktg &amp; Mktg Mix!H"" &amp; ROW(H27))
"),146.19000000000003)</f>
        <v>146.19</v>
      </c>
      <c r="I89" s="54">
        <f>IFERROR(__xludf.DUMMYFUNCTION("IMPORTRANGE(""https://docs.google.com/spreadsheets/d/1bozxp9FwhaCNzy-RRGPVPfVYTttO4PUGDdaFvbz-Ue0/edit?gid=1870218791#gid=1870218791"", ""Rev vs Mktg &amp; Mktg Mix!I"" &amp; ROW(K27))
"),121.247)</f>
        <v>121.247</v>
      </c>
      <c r="J89" s="54">
        <f>IFERROR(__xludf.DUMMYFUNCTION("IMPORTRANGE(""https://docs.google.com/spreadsheets/d/1bozxp9FwhaCNzy-RRGPVPfVYTttO4PUGDdaFvbz-Ue0/edit?gid=1870218791#gid=1870218791"", ""Rev vs Mktg &amp; Mktg Mix!J"" &amp; ROW(J27))
"),103.609)</f>
        <v>103.609</v>
      </c>
      <c r="K89" s="45"/>
      <c r="L89" s="54">
        <f>IFERROR(__xludf.DUMMYFUNCTION("IMPORTRANGE(""https://docs.google.com/spreadsheets/d/1bozxp9FwhaCNzy-RRGPVPfVYTttO4PUGDdaFvbz-Ue0/edit?gid=1870218791#gid=1870218791"", ""Rev vs Mktg &amp; Mktg Mix!L"" &amp; ROW(N27))
"),131.0961532377)</f>
        <v>131.0961532</v>
      </c>
      <c r="M89" s="52"/>
      <c r="N89" s="57">
        <f>IFERROR(__xludf.DUMMYFUNCTION("IMPORTRANGE(""https://docs.google.com/spreadsheets/d/1bozxp9FwhaCNzy-RRGPVPfVYTttO4PUGDdaFvbz-Ue0/edit?gid=1870218791#gid=1870218791"", ""Rev vs Mktg &amp; Mktg Mix!N"" &amp; ROW(N27))
"),5.105)</f>
        <v>5.105</v>
      </c>
      <c r="O89" s="53">
        <f>IFERROR(__xludf.DUMMYFUNCTION("IMPORTRANGE(""https://docs.google.com/spreadsheets/d/1bozxp9FwhaCNzy-RRGPVPfVYTttO4PUGDdaFvbz-Ue0/edit?gid=1870218791#gid=1870218791"", ""Rev vs Mktg &amp; Mktg Mix!O"" &amp; ROW(O27))
"),57.135000000000005)</f>
        <v>57.135</v>
      </c>
      <c r="P89" s="43"/>
      <c r="Q89" s="57"/>
      <c r="R89" s="57"/>
      <c r="S89" s="46">
        <f>VLOOKUP(VALUE(LEFT(A89, 4)), 'Raw Annual Revenue'!A:S, 18, FALSE) / 4</f>
        <v>0</v>
      </c>
      <c r="T89" s="45">
        <f>VLOOKUP(VALUE(LEFT(A92, 4)), 'Raw Annual Revenue'!A:T, 19, FALSE) / 4</f>
        <v>98029</v>
      </c>
      <c r="U89" s="43"/>
      <c r="V89" s="43"/>
      <c r="W89" s="43"/>
      <c r="X89" s="45">
        <f>VLOOKUP(VALUE(LEFT($A91, 4)), 'Raw Annual Revenue'!$A:X, 23, FALSE) / 4
</f>
        <v>0</v>
      </c>
      <c r="Y89" s="46">
        <f>VLOOKUP(VALUE(LEFT(A89, 4)), 'Raw Annual Revenue'!A:Y, 24, FALSE) / 4</f>
        <v>540590</v>
      </c>
      <c r="Z89" s="46">
        <f>VLOOKUP(VALUE(LEFT($A89, 4)), 'Raw Annual Revenue'!$A:Z, 25, FALSE) / 4</f>
        <v>82990.80089</v>
      </c>
      <c r="AA89" s="46">
        <f>VLOOKUP(VALUE(LEFT($A89, 4)), 'Raw Annual Revenue'!$A:AA, 26, FALSE) / 4</f>
        <v>16488.25</v>
      </c>
      <c r="AB89" s="46">
        <f>VLOOKUP(VALUE(LEFT($A89, 4)), 'Raw Annual Revenue'!$A:AB, 27, FALSE) / 4</f>
        <v>308997.5</v>
      </c>
      <c r="AC89" s="46">
        <f>VLOOKUP(VALUE(LEFT($A89, 4)), 'Raw Annual Revenue'!$A:AC, 28, FALSE) / 4</f>
        <v>11662.5</v>
      </c>
    </row>
    <row r="90">
      <c r="A90" s="42" t="s">
        <v>117</v>
      </c>
      <c r="B90" s="50">
        <f>VLOOKUP(VALUE(LEFT(A90, 4)), 'Raw Annual Revenue'!A:B, 2, FALSE) / 4
</f>
        <v>912996.25</v>
      </c>
      <c r="C90" s="54">
        <f>IFERROR(__xludf.DUMMYFUNCTION("IMPORTRANGE(""https://docs.google.com/spreadsheets/d/1bozxp9FwhaCNzy-RRGPVPfVYTttO4PUGDdaFvbz-Ue0/edit?gid=1870218791#gid=1870218791"", ""Rev vs Mktg &amp; Mktg Mix!C"" &amp; ROW(C28))
"),3213.0)</f>
        <v>3213</v>
      </c>
      <c r="D90" s="54">
        <f>IFERROR(__xludf.DUMMYFUNCTION("IMPORTRANGE(""https://docs.google.com/spreadsheets/d/1bozxp9FwhaCNzy-RRGPVPfVYTttO4PUGDdaFvbz-Ue0/edit?gid=1870218791#gid=1870218791"", ""Rev vs Mktg &amp; Mktg Mix!D"" &amp; ROW(D28))
"),2559.0)</f>
        <v>2559</v>
      </c>
      <c r="E90" s="54">
        <f>IFERROR(__xludf.DUMMYFUNCTION("IMPORTRANGE(""https://docs.google.com/spreadsheets/d/1bozxp9FwhaCNzy-RRGPVPfVYTttO4PUGDdaFvbz-Ue0/edit?gid=1870218791#gid=1870218791"", ""Rev vs Mktg &amp; Mktg Mix!E"" &amp; ROW(E28))
"),1103.0)</f>
        <v>1103</v>
      </c>
      <c r="F90" s="54">
        <f>IFERROR(__xludf.DUMMYFUNCTION("IMPORTRANGE(""https://docs.google.com/spreadsheets/d/1bozxp9FwhaCNzy-RRGPVPfVYTttO4PUGDdaFvbz-Ue0/edit?gid=1870218791#gid=1870218791"", ""Rev vs Mktg &amp; Mktg Mix!F"" &amp; ROW(F28))
"),346.0)</f>
        <v>346</v>
      </c>
      <c r="G90" s="54">
        <f>IFERROR(__xludf.DUMMYFUNCTION("IMPORTRANGE(""https://docs.google.com/spreadsheets/d/1bozxp9FwhaCNzy-RRGPVPfVYTttO4PUGDdaFvbz-Ue0/edit?gid=1870218791#gid=1870218791"", ""Rev vs Mktg &amp; Mktg Mix!G"" &amp; ROW(I28))
"),166.778)</f>
        <v>166.778</v>
      </c>
      <c r="H90" s="58">
        <f>IFERROR(__xludf.DUMMYFUNCTION("IMPORTRANGE(""https://docs.google.com/spreadsheets/d/1bozxp9FwhaCNzy-RRGPVPfVYTttO4PUGDdaFvbz-Ue0/edit?gid=1870218791#gid=1870218791"", ""Rev vs Mktg &amp; Mktg Mix!H"" &amp; ROW(H28))
"),125.4)</f>
        <v>125.4</v>
      </c>
      <c r="I90" s="54">
        <f>IFERROR(__xludf.DUMMYFUNCTION("IMPORTRANGE(""https://docs.google.com/spreadsheets/d/1bozxp9FwhaCNzy-RRGPVPfVYTttO4PUGDdaFvbz-Ue0/edit?gid=1870218791#gid=1870218791"", ""Rev vs Mktg &amp; Mktg Mix!I"" &amp; ROW(K28))
"),132.515)</f>
        <v>132.515</v>
      </c>
      <c r="J90" s="54">
        <f>IFERROR(__xludf.DUMMYFUNCTION("IMPORTRANGE(""https://docs.google.com/spreadsheets/d/1bozxp9FwhaCNzy-RRGPVPfVYTttO4PUGDdaFvbz-Ue0/edit?gid=1870218791#gid=1870218791"", ""Rev vs Mktg &amp; Mktg Mix!J"" &amp; ROW(J28))
"),124.815)</f>
        <v>124.815</v>
      </c>
      <c r="K90" s="45"/>
      <c r="L90" s="54">
        <f>IFERROR(__xludf.DUMMYFUNCTION("IMPORTRANGE(""https://docs.google.com/spreadsheets/d/1bozxp9FwhaCNzy-RRGPVPfVYTttO4PUGDdaFvbz-Ue0/edit?gid=1870218791#gid=1870218791"", ""Rev vs Mktg &amp; Mktg Mix!L"" &amp; ROW(N28))
"),118.26468097079999)</f>
        <v>118.264681</v>
      </c>
      <c r="M90" s="43"/>
      <c r="N90" s="57">
        <f>IFERROR(__xludf.DUMMYFUNCTION("IMPORTRANGE(""https://docs.google.com/spreadsheets/d/1bozxp9FwhaCNzy-RRGPVPfVYTttO4PUGDdaFvbz-Ue0/edit?gid=1870218791#gid=1870218791"", ""Rev vs Mktg &amp; Mktg Mix!N"" &amp; ROW(N28))
"),5.52)</f>
        <v>5.52</v>
      </c>
      <c r="O90" s="57">
        <f>IFERROR(__xludf.DUMMYFUNCTION("IMPORTRANGE(""https://docs.google.com/spreadsheets/d/1bozxp9FwhaCNzy-RRGPVPfVYTttO4PUGDdaFvbz-Ue0/edit?gid=1870218791#gid=1870218791"", ""Rev vs Mktg &amp; Mktg Mix!O"" &amp; ROW(O28))
"),57.135000000000005)</f>
        <v>57.135</v>
      </c>
      <c r="P90" s="43"/>
      <c r="Q90" s="57"/>
      <c r="R90" s="57"/>
      <c r="S90" s="46">
        <f>VLOOKUP(VALUE(LEFT(A90, 4)), 'Raw Annual Revenue'!A:S, 18, FALSE) / 4</f>
        <v>0</v>
      </c>
      <c r="T90" s="45">
        <f>VLOOKUP(VALUE(LEFT(A93, 4)), 'Raw Annual Revenue'!A:T, 19, FALSE) / 4</f>
        <v>98029</v>
      </c>
      <c r="U90" s="43"/>
      <c r="V90" s="43"/>
      <c r="W90" s="43"/>
      <c r="X90" s="45">
        <f>VLOOKUP(VALUE(LEFT($A92, 4)), 'Raw Annual Revenue'!$A:X, 23, FALSE) / 4
</f>
        <v>0</v>
      </c>
      <c r="Y90" s="46">
        <f>VLOOKUP(VALUE(LEFT(A90, 4)), 'Raw Annual Revenue'!A:Y, 24, FALSE) / 4</f>
        <v>540590</v>
      </c>
      <c r="Z90" s="46">
        <f>VLOOKUP(VALUE(LEFT($A90, 4)), 'Raw Annual Revenue'!$A:Z, 25, FALSE) / 4</f>
        <v>82990.80089</v>
      </c>
      <c r="AA90" s="46">
        <f>VLOOKUP(VALUE(LEFT($A90, 4)), 'Raw Annual Revenue'!$A:AA, 26, FALSE) / 4</f>
        <v>16488.25</v>
      </c>
      <c r="AB90" s="50">
        <f>VLOOKUP(VALUE(LEFT($A90, 4)), 'Raw Annual Revenue'!$A:AB, 27, FALSE) / 4</f>
        <v>308997.5</v>
      </c>
      <c r="AC90" s="46">
        <f>VLOOKUP(VALUE(LEFT($A90, 4)), 'Raw Annual Revenue'!$A:AC, 28, FALSE) / 4</f>
        <v>11662.5</v>
      </c>
    </row>
    <row r="91">
      <c r="A91" s="42" t="s">
        <v>118</v>
      </c>
      <c r="B91" s="51">
        <f>IFERROR(__xludf.DUMMYFUNCTION("IMPORTRANGE(""https://docs.google.com/spreadsheets/d/1bozxp9FwhaCNzy-RRGPVPfVYTttO4PUGDdaFvbz-Ue0/edit?gid=1870218791#gid=1870218791"", ""Rev vs Mktg &amp; Mktg Mix!B"" &amp; ROW(A29))
"),839.0)</f>
        <v>839</v>
      </c>
      <c r="C91" s="54">
        <f>IFERROR(__xludf.DUMMYFUNCTION("IMPORTRANGE(""https://docs.google.com/spreadsheets/d/1bozxp9FwhaCNzy-RRGPVPfVYTttO4PUGDdaFvbz-Ue0/edit?gid=1870218791#gid=1870218791"", ""Rev vs Mktg &amp; Mktg Mix!C"" &amp; ROW(C29))
"),2837.0)</f>
        <v>2837</v>
      </c>
      <c r="D91" s="54">
        <f>IFERROR(__xludf.DUMMYFUNCTION("IMPORTRANGE(""https://docs.google.com/spreadsheets/d/1bozxp9FwhaCNzy-RRGPVPfVYTttO4PUGDdaFvbz-Ue0/edit?gid=1870218791#gid=1870218791"", ""Rev vs Mktg &amp; Mktg Mix!D"" &amp; ROW(D29))
"),2609.0)</f>
        <v>2609</v>
      </c>
      <c r="E91" s="54">
        <f>IFERROR(__xludf.DUMMYFUNCTION("IMPORTRANGE(""https://docs.google.com/spreadsheets/d/1bozxp9FwhaCNzy-RRGPVPfVYTttO4PUGDdaFvbz-Ue0/edit?gid=1870218791#gid=1870218791"", ""Rev vs Mktg &amp; Mktg Mix!E"" &amp; ROW(E29))
"),1218.0)</f>
        <v>1218</v>
      </c>
      <c r="F91" s="54">
        <f>IFERROR(__xludf.DUMMYFUNCTION("IMPORTRANGE(""https://docs.google.com/spreadsheets/d/1bozxp9FwhaCNzy-RRGPVPfVYTttO4PUGDdaFvbz-Ue0/edit?gid=1870218791#gid=1870218791"", ""Rev vs Mktg &amp; Mktg Mix!F"" &amp; ROW(F29))
"),376.0)</f>
        <v>376</v>
      </c>
      <c r="G91" s="54">
        <f>IFERROR(__xludf.DUMMYFUNCTION("IMPORTRANGE(""https://docs.google.com/spreadsheets/d/1bozxp9FwhaCNzy-RRGPVPfVYTttO4PUGDdaFvbz-Ue0/edit?gid=1870218791#gid=1870218791"", ""Rev vs Mktg &amp; Mktg Mix!G"" &amp; ROW(I29))
"),208.96)</f>
        <v>208.96</v>
      </c>
      <c r="H91" s="58">
        <f>IFERROR(__xludf.DUMMYFUNCTION("IMPORTRANGE(""https://docs.google.com/spreadsheets/d/1bozxp9FwhaCNzy-RRGPVPfVYTttO4PUGDdaFvbz-Ue0/edit?gid=1870218791#gid=1870218791"", ""Rev vs Mktg &amp; Mktg Mix!H"" &amp; ROW(H29))
"),166.54000000000002)</f>
        <v>166.54</v>
      </c>
      <c r="I91" s="54">
        <f>IFERROR(__xludf.DUMMYFUNCTION("IMPORTRANGE(""https://docs.google.com/spreadsheets/d/1bozxp9FwhaCNzy-RRGPVPfVYTttO4PUGDdaFvbz-Ue0/edit?gid=1870218791#gid=1870218791"", ""Rev vs Mktg &amp; Mktg Mix!I"" &amp; ROW(K29))
"),133.1)</f>
        <v>133.1</v>
      </c>
      <c r="J91" s="54">
        <f>IFERROR(__xludf.DUMMYFUNCTION("IMPORTRANGE(""https://docs.google.com/spreadsheets/d/1bozxp9FwhaCNzy-RRGPVPfVYTttO4PUGDdaFvbz-Ue0/edit?gid=1870218791#gid=1870218791"", ""Rev vs Mktg &amp; Mktg Mix!J"" &amp; ROW(J29))
"),120.177)</f>
        <v>120.177</v>
      </c>
      <c r="K91" s="45"/>
      <c r="L91" s="54">
        <f>IFERROR(__xludf.DUMMYFUNCTION("IMPORTRANGE(""https://docs.google.com/spreadsheets/d/1bozxp9FwhaCNzy-RRGPVPfVYTttO4PUGDdaFvbz-Ue0/edit?gid=1870218791#gid=1870218791"", ""Rev vs Mktg &amp; Mktg Mix!L"" &amp; ROW(N29))
"),80.6095416)</f>
        <v>80.6095416</v>
      </c>
      <c r="M91" s="53">
        <f>IFERROR(__xludf.DUMMYFUNCTION("IMPORTRANGE(""https://docs.google.com/spreadsheets/d/1bozxp9FwhaCNzy-RRGPVPfVYTttO4PUGDdaFvbz-Ue0/edit?gid=1870218791#gid=1870218791"", ""Rev vs Mktg &amp; Mktg Mix!M"" &amp; ROW(M29))
"),17.178047630860966)</f>
        <v>17.17804763</v>
      </c>
      <c r="N91" s="57">
        <f>IFERROR(__xludf.DUMMYFUNCTION("IMPORTRANGE(""https://docs.google.com/spreadsheets/d/1bozxp9FwhaCNzy-RRGPVPfVYTttO4PUGDdaFvbz-Ue0/edit?gid=1870218791#gid=1870218791"", ""Rev vs Mktg &amp; Mktg Mix!N"" &amp; ROW(N29))
"),6.081)</f>
        <v>6.081</v>
      </c>
      <c r="O91" s="57">
        <f>IFERROR(__xludf.DUMMYFUNCTION("IMPORTRANGE(""https://docs.google.com/spreadsheets/d/1bozxp9FwhaCNzy-RRGPVPfVYTttO4PUGDdaFvbz-Ue0/edit?gid=1870218791#gid=1870218791"", ""Rev vs Mktg &amp; Mktg Mix!O"" &amp; ROW(O29))
"),62.26999999999999)</f>
        <v>62.27</v>
      </c>
      <c r="P91" s="43"/>
      <c r="Q91" s="57"/>
      <c r="R91" s="57"/>
      <c r="S91" s="51">
        <f>IFERROR(__xludf.DUMMYFUNCTION("IMPORTRANGE(""https://docs.google.com/spreadsheets/d/1bozxp9FwhaCNzy-RRGPVPfVYTttO4PUGDdaFvbz-Ue0/edit?gid=1870218791#gid=1870218791"", ""Rev vs Mktg &amp; Mktg Mix!s"" &amp; ROW(S29))
"),94.45095)</f>
        <v>94.45095</v>
      </c>
      <c r="T91" s="45">
        <f>VLOOKUP(VALUE(LEFT(A94, 4)), 'Raw Annual Revenue'!A:T, 19, FALSE) / 4</f>
        <v>98029</v>
      </c>
      <c r="U91" s="59">
        <f>IFERROR(__xludf.DUMMYFUNCTION("IMPORTRANGE(""https://docs.google.com/spreadsheets/d/1bozxp9FwhaCNzy-RRGPVPfVYTttO4PUGDdaFvbz-Ue0/edit?gid=1870218791#gid=1870218791"", ""Rev vs Mktg &amp; Mktg Mix!u"" &amp; ROW(U29))
"),32.655)</f>
        <v>32.655</v>
      </c>
      <c r="V91" s="43"/>
      <c r="W91" s="43"/>
      <c r="X91" s="45">
        <f>VLOOKUP(VALUE(LEFT($A93, 4)), 'Raw Annual Revenue'!$A:X, 23, FALSE) / 4
</f>
        <v>0</v>
      </c>
      <c r="Y91" s="46">
        <f>VLOOKUP(VALUE(LEFT(A91, 4)), 'Raw Annual Revenue'!A:Y, 24, FALSE) / 4</f>
        <v>532422</v>
      </c>
      <c r="Z91" s="46">
        <f>VLOOKUP(VALUE(LEFT($A91, 4)), 'Raw Annual Revenue'!$A:Z, 25, FALSE) / 4</f>
        <v>102150.2214</v>
      </c>
      <c r="AA91" s="46">
        <f>VLOOKUP(VALUE(LEFT($A91, 4)), 'Raw Annual Revenue'!$A:AA, 26, FALSE) / 4</f>
        <v>24060.5</v>
      </c>
      <c r="AB91" s="46">
        <f>VLOOKUP(VALUE(LEFT($A91, 4)), 'Raw Annual Revenue'!$A:AB, 27, FALSE) / 4</f>
        <v>356927.5</v>
      </c>
      <c r="AC91" s="46">
        <f>VLOOKUP(VALUE(LEFT($A91, 4)), 'Raw Annual Revenue'!$A:AC, 28, FALSE) / 4</f>
        <v>10254.25</v>
      </c>
    </row>
    <row r="92">
      <c r="A92" s="42" t="s">
        <v>119</v>
      </c>
      <c r="B92" s="58">
        <f>IFERROR(__xludf.DUMMYFUNCTION("IMPORTRANGE(""https://docs.google.com/spreadsheets/d/1bozxp9FwhaCNzy-RRGPVPfVYTttO4PUGDdaFvbz-Ue0/edit?gid=1870218791#gid=1870218791"", ""Rev vs Mktg &amp; Mktg Mix!B"" &amp; ROW(A30))
"),1214.0)</f>
        <v>1214</v>
      </c>
      <c r="C92" s="54">
        <f>IFERROR(__xludf.DUMMYFUNCTION("IMPORTRANGE(""https://docs.google.com/spreadsheets/d/1bozxp9FwhaCNzy-RRGPVPfVYTttO4PUGDdaFvbz-Ue0/edit?gid=1870218791#gid=1870218791"", ""Rev vs Mktg &amp; Mktg Mix!C"" &amp; ROW(C30))
"),3850.0)</f>
        <v>3850</v>
      </c>
      <c r="D92" s="54">
        <f>IFERROR(__xludf.DUMMYFUNCTION("IMPORTRANGE(""https://docs.google.com/spreadsheets/d/1bozxp9FwhaCNzy-RRGPVPfVYTttO4PUGDdaFvbz-Ue0/edit?gid=1870218791#gid=1870218791"", ""Rev vs Mktg &amp; Mktg Mix!D"" &amp; ROW(D30))
"),3153.0)</f>
        <v>3153</v>
      </c>
      <c r="E92" s="54">
        <f>IFERROR(__xludf.DUMMYFUNCTION("IMPORTRANGE(""https://docs.google.com/spreadsheets/d/1bozxp9FwhaCNzy-RRGPVPfVYTttO4PUGDdaFvbz-Ue0/edit?gid=1870218791#gid=1870218791"", ""Rev vs Mktg &amp; Mktg Mix!E"" &amp; ROW(E30))
"),1267.0)</f>
        <v>1267</v>
      </c>
      <c r="F92" s="54">
        <f>IFERROR(__xludf.DUMMYFUNCTION("IMPORTRANGE(""https://docs.google.com/spreadsheets/d/1bozxp9FwhaCNzy-RRGPVPfVYTttO4PUGDdaFvbz-Ue0/edit?gid=1870218791#gid=1870218791"", ""Rev vs Mktg &amp; Mktg Mix!F"" &amp; ROW(F30))
"),422.0)</f>
        <v>422</v>
      </c>
      <c r="G92" s="54">
        <f>IFERROR(__xludf.DUMMYFUNCTION("IMPORTRANGE(""https://docs.google.com/spreadsheets/d/1bozxp9FwhaCNzy-RRGPVPfVYTttO4PUGDdaFvbz-Ue0/edit?gid=1870218791#gid=1870218791"", ""Rev vs Mktg &amp; Mktg Mix!G"" &amp; ROW(I30))
"),223.7)</f>
        <v>223.7</v>
      </c>
      <c r="H92" s="58">
        <f>IFERROR(__xludf.DUMMYFUNCTION("IMPORTRANGE(""https://docs.google.com/spreadsheets/d/1bozxp9FwhaCNzy-RRGPVPfVYTttO4PUGDdaFvbz-Ue0/edit?gid=1870218791#gid=1870218791"", ""Rev vs Mktg &amp; Mktg Mix!H"" &amp; ROW(H30))
"),155.65)</f>
        <v>155.65</v>
      </c>
      <c r="I92" s="54">
        <f>IFERROR(__xludf.DUMMYFUNCTION("IMPORTRANGE(""https://docs.google.com/spreadsheets/d/1bozxp9FwhaCNzy-RRGPVPfVYTttO4PUGDdaFvbz-Ue0/edit?gid=1870218791#gid=1870218791"", ""Rev vs Mktg &amp; Mktg Mix!I"" &amp; ROW(K30))
"),114.1)</f>
        <v>114.1</v>
      </c>
      <c r="J92" s="54">
        <f>IFERROR(__xludf.DUMMYFUNCTION("IMPORTRANGE(""https://docs.google.com/spreadsheets/d/1bozxp9FwhaCNzy-RRGPVPfVYTttO4PUGDdaFvbz-Ue0/edit?gid=1870218791#gid=1870218791"", ""Rev vs Mktg &amp; Mktg Mix!J"" &amp; ROW(J30))
"),141.737)</f>
        <v>141.737</v>
      </c>
      <c r="K92" s="45"/>
      <c r="L92" s="54">
        <f>IFERROR(__xludf.DUMMYFUNCTION("IMPORTRANGE(""https://docs.google.com/spreadsheets/d/1bozxp9FwhaCNzy-RRGPVPfVYTttO4PUGDdaFvbz-Ue0/edit?gid=1870218791#gid=1870218791"", ""Rev vs Mktg &amp; Mktg Mix!L"" &amp; ROW(N30))
"),91.0117731831)</f>
        <v>91.01177318</v>
      </c>
      <c r="M92" s="57">
        <f>IFERROR(__xludf.DUMMYFUNCTION("IMPORTRANGE(""https://docs.google.com/spreadsheets/d/1bozxp9FwhaCNzy-RRGPVPfVYTttO4PUGDdaFvbz-Ue0/edit?gid=1870218791#gid=1870218791"", ""Rev vs Mktg &amp; Mktg Mix!M"" &amp; ROW(M30))
"),58.24972191605707)</f>
        <v>58.24972192</v>
      </c>
      <c r="N92" s="57">
        <f>IFERROR(__xludf.DUMMYFUNCTION("IMPORTRANGE(""https://docs.google.com/spreadsheets/d/1bozxp9FwhaCNzy-RRGPVPfVYTttO4PUGDdaFvbz-Ue0/edit?gid=1870218791#gid=1870218791"", ""Rev vs Mktg &amp; Mktg Mix!N"" &amp; ROW(N30))
"),7.423)</f>
        <v>7.423</v>
      </c>
      <c r="O92" s="57">
        <f>IFERROR(__xludf.DUMMYFUNCTION("IMPORTRANGE(""https://docs.google.com/spreadsheets/d/1bozxp9FwhaCNzy-RRGPVPfVYTttO4PUGDdaFvbz-Ue0/edit?gid=1870218791#gid=1870218791"", ""Rev vs Mktg &amp; Mktg Mix!O"" &amp; ROW(O30))
"),62.26999999999999)</f>
        <v>62.27</v>
      </c>
      <c r="P92" s="43"/>
      <c r="Q92" s="57"/>
      <c r="R92" s="57"/>
      <c r="S92" s="54">
        <f>IFERROR(__xludf.DUMMYFUNCTION("IMPORTRANGE(""https://docs.google.com/spreadsheets/d/1bozxp9FwhaCNzy-RRGPVPfVYTttO4PUGDdaFvbz-Ue0/edit?gid=1870218791#gid=1870218791"", ""Rev vs Mktg &amp; Mktg Mix!s"" &amp; ROW(S30))
"),94.45095)</f>
        <v>94.45095</v>
      </c>
      <c r="T92" s="45">
        <f>VLOOKUP(VALUE(LEFT(A95, 4)), 'Raw Annual Revenue'!A:T, 19, FALSE) / 4</f>
        <v>32231.5</v>
      </c>
      <c r="U92" s="60">
        <f>IFERROR(__xludf.DUMMYFUNCTION("IMPORTRANGE(""https://docs.google.com/spreadsheets/d/1bozxp9FwhaCNzy-RRGPVPfVYTttO4PUGDdaFvbz-Ue0/edit?gid=1870218791#gid=1870218791"", ""Rev vs Mktg &amp; Mktg Mix!u"" &amp; ROW(U30))
"),32.658)</f>
        <v>32.658</v>
      </c>
      <c r="V92" s="43"/>
      <c r="W92" s="43"/>
      <c r="X92" s="45">
        <f>VLOOKUP(VALUE(LEFT($A94, 4)), 'Raw Annual Revenue'!$A:X, 23, FALSE) / 4
</f>
        <v>0</v>
      </c>
      <c r="Y92" s="46">
        <f>VLOOKUP(VALUE(LEFT(A92, 4)), 'Raw Annual Revenue'!A:Y, 24, FALSE) / 4</f>
        <v>532422</v>
      </c>
      <c r="Z92" s="46">
        <f>VLOOKUP(VALUE(LEFT($A92, 4)), 'Raw Annual Revenue'!$A:Z, 25, FALSE) / 4</f>
        <v>102150.2214</v>
      </c>
      <c r="AA92" s="46">
        <f>VLOOKUP(VALUE(LEFT($A92, 4)), 'Raw Annual Revenue'!$A:AA, 26, FALSE) / 4</f>
        <v>24060.5</v>
      </c>
      <c r="AB92" s="46">
        <f>VLOOKUP(VALUE(LEFT($A92, 4)), 'Raw Annual Revenue'!$A:AB, 27, FALSE) / 4</f>
        <v>356927.5</v>
      </c>
      <c r="AC92" s="46">
        <f>VLOOKUP(VALUE(LEFT($A92, 4)), 'Raw Annual Revenue'!$A:AC, 28, FALSE) / 4</f>
        <v>10254.25</v>
      </c>
    </row>
    <row r="93">
      <c r="A93" s="42" t="s">
        <v>120</v>
      </c>
      <c r="B93" s="58">
        <f>IFERROR(__xludf.DUMMYFUNCTION("IMPORTRANGE(""https://docs.google.com/spreadsheets/d/1bozxp9FwhaCNzy-RRGPVPfVYTttO4PUGDdaFvbz-Ue0/edit?gid=1870218791#gid=1870218791"", ""Rev vs Mktg &amp; Mktg Mix!B"" &amp; ROW(A31))
"),1646.0)</f>
        <v>1646</v>
      </c>
      <c r="C93" s="54">
        <f>IFERROR(__xludf.DUMMYFUNCTION("IMPORTRANGE(""https://docs.google.com/spreadsheets/d/1bozxp9FwhaCNzy-RRGPVPfVYTttO4PUGDdaFvbz-Ue0/edit?gid=1870218791#gid=1870218791"", ""Rev vs Mktg &amp; Mktg Mix!C"" &amp; ROW(C31))
"),5040.0)</f>
        <v>5040</v>
      </c>
      <c r="D93" s="54">
        <f>IFERROR(__xludf.DUMMYFUNCTION("IMPORTRANGE(""https://docs.google.com/spreadsheets/d/1bozxp9FwhaCNzy-RRGPVPfVYTttO4PUGDdaFvbz-Ue0/edit?gid=1870218791#gid=1870218791"", ""Rev vs Mktg &amp; Mktg Mix!D"" &amp; ROW(D31))
"),3558.0)</f>
        <v>3558</v>
      </c>
      <c r="E93" s="54">
        <f>IFERROR(__xludf.DUMMYFUNCTION("IMPORTRANGE(""https://docs.google.com/spreadsheets/d/1bozxp9FwhaCNzy-RRGPVPfVYTttO4PUGDdaFvbz-Ue0/edit?gid=1870218791#gid=1870218791"", ""Rev vs Mktg &amp; Mktg Mix!E"" &amp; ROW(E31))
"),1469.0)</f>
        <v>1469</v>
      </c>
      <c r="F93" s="54">
        <f>IFERROR(__xludf.DUMMYFUNCTION("IMPORTRANGE(""https://docs.google.com/spreadsheets/d/1bozxp9FwhaCNzy-RRGPVPfVYTttO4PUGDdaFvbz-Ue0/edit?gid=1870218791#gid=1870218791"", ""Rev vs Mktg &amp; Mktg Mix!F"" &amp; ROW(F31))
"),428.0)</f>
        <v>428</v>
      </c>
      <c r="G93" s="54">
        <f>IFERROR(__xludf.DUMMYFUNCTION("IMPORTRANGE(""https://docs.google.com/spreadsheets/d/1bozxp9FwhaCNzy-RRGPVPfVYTttO4PUGDdaFvbz-Ue0/edit?gid=1870218791#gid=1870218791"", ""Rev vs Mktg &amp; Mktg Mix!G"" &amp; ROW(I31))
"),250.5)</f>
        <v>250.5</v>
      </c>
      <c r="H93" s="58">
        <f>IFERROR(__xludf.DUMMYFUNCTION("IMPORTRANGE(""https://docs.google.com/spreadsheets/d/1bozxp9FwhaCNzy-RRGPVPfVYTttO4PUGDdaFvbz-Ue0/edit?gid=1870218791#gid=1870218791"", ""Rev vs Mktg &amp; Mktg Mix!H"" &amp; ROW(H31))
"),153.67)</f>
        <v>153.67</v>
      </c>
      <c r="I93" s="54">
        <f>IFERROR(__xludf.DUMMYFUNCTION("IMPORTRANGE(""https://docs.google.com/spreadsheets/d/1bozxp9FwhaCNzy-RRGPVPfVYTttO4PUGDdaFvbz-Ue0/edit?gid=1870218791#gid=1870218791"", ""Rev vs Mktg &amp; Mktg Mix!I"" &amp; ROW(K31))
"),132.0)</f>
        <v>132</v>
      </c>
      <c r="J93" s="54">
        <f>IFERROR(__xludf.DUMMYFUNCTION("IMPORTRANGE(""https://docs.google.com/spreadsheets/d/1bozxp9FwhaCNzy-RRGPVPfVYTttO4PUGDdaFvbz-Ue0/edit?gid=1870218791#gid=1870218791"", ""Rev vs Mktg &amp; Mktg Mix!J"" &amp; ROW(J31))
"),117.957)</f>
        <v>117.957</v>
      </c>
      <c r="K93" s="45"/>
      <c r="L93" s="54">
        <f>IFERROR(__xludf.DUMMYFUNCTION("IMPORTRANGE(""https://docs.google.com/spreadsheets/d/1bozxp9FwhaCNzy-RRGPVPfVYTttO4PUGDdaFvbz-Ue0/edit?gid=1870218791#gid=1870218791"", ""Rev vs Mktg &amp; Mktg Mix!L"" &amp; ROW(N31))
"),93.142308)</f>
        <v>93.142308</v>
      </c>
      <c r="M93" s="57">
        <f>IFERROR(__xludf.DUMMYFUNCTION("IMPORTRANGE(""https://docs.google.com/spreadsheets/d/1bozxp9FwhaCNzy-RRGPVPfVYTttO4PUGDdaFvbz-Ue0/edit?gid=1870218791#gid=1870218791"", ""Rev vs Mktg &amp; Mktg Mix!M"" &amp; ROW(M31))
"),64.93647871196268)</f>
        <v>64.93647871</v>
      </c>
      <c r="N93" s="57">
        <f>IFERROR(__xludf.DUMMYFUNCTION("IMPORTRANGE(""https://docs.google.com/spreadsheets/d/1bozxp9FwhaCNzy-RRGPVPfVYTttO4PUGDdaFvbz-Ue0/edit?gid=1870218791#gid=1870218791"", ""Rev vs Mktg &amp; Mktg Mix!N"" &amp; ROW(N31))
"),8.043)</f>
        <v>8.043</v>
      </c>
      <c r="O93" s="57">
        <f>IFERROR(__xludf.DUMMYFUNCTION("IMPORTRANGE(""https://docs.google.com/spreadsheets/d/1bozxp9FwhaCNzy-RRGPVPfVYTttO4PUGDdaFvbz-Ue0/edit?gid=1870218791#gid=1870218791"", ""Rev vs Mktg &amp; Mktg Mix!O"" &amp; ROW(O31))
"),70.91499999999999)</f>
        <v>70.915</v>
      </c>
      <c r="P93" s="43"/>
      <c r="Q93" s="57"/>
      <c r="R93" s="57"/>
      <c r="S93" s="54">
        <f>IFERROR(__xludf.DUMMYFUNCTION("IMPORTRANGE(""https://docs.google.com/spreadsheets/d/1bozxp9FwhaCNzy-RRGPVPfVYTttO4PUGDdaFvbz-Ue0/edit?gid=1870218791#gid=1870218791"", ""Rev vs Mktg &amp; Mktg Mix!s"" &amp; ROW(S31))
"),97.52380000000001)</f>
        <v>97.5238</v>
      </c>
      <c r="T93" s="45">
        <f>VLOOKUP(VALUE(LEFT(A96, 4)), 'Raw Annual Revenue'!A:T, 19, FALSE) / 4</f>
        <v>32231.5</v>
      </c>
      <c r="U93" s="60">
        <f>IFERROR(__xludf.DUMMYFUNCTION("IMPORTRANGE(""https://docs.google.com/spreadsheets/d/1bozxp9FwhaCNzy-RRGPVPfVYTttO4PUGDdaFvbz-Ue0/edit?gid=1870218791#gid=1870218791"", ""Rev vs Mktg &amp; Mktg Mix!u"" &amp; ROW(U31))
"),24.884)</f>
        <v>24.884</v>
      </c>
      <c r="V93" s="43"/>
      <c r="W93" s="43"/>
      <c r="X93" s="45">
        <f>VLOOKUP(VALUE(LEFT($A95, 4)), 'Raw Annual Revenue'!$A:X, 23, FALSE) / 4
</f>
        <v>0</v>
      </c>
      <c r="Y93" s="46">
        <f>VLOOKUP(VALUE(LEFT(A93, 4)), 'Raw Annual Revenue'!A:Y, 24, FALSE) / 4</f>
        <v>532422</v>
      </c>
      <c r="Z93" s="46">
        <f>VLOOKUP(VALUE(LEFT($A93, 4)), 'Raw Annual Revenue'!$A:Z, 25, FALSE) / 4</f>
        <v>102150.2214</v>
      </c>
      <c r="AA93" s="46">
        <f>VLOOKUP(VALUE(LEFT($A93, 4)), 'Raw Annual Revenue'!$A:AA, 26, FALSE) / 4</f>
        <v>24060.5</v>
      </c>
      <c r="AB93" s="46">
        <f>VLOOKUP(VALUE(LEFT($A93, 4)), 'Raw Annual Revenue'!$A:AB, 27, FALSE) / 4</f>
        <v>356927.5</v>
      </c>
      <c r="AC93" s="46">
        <f>VLOOKUP(VALUE(LEFT($A93, 4)), 'Raw Annual Revenue'!$A:AC, 28, FALSE) / 4</f>
        <v>10254.25</v>
      </c>
    </row>
    <row r="94">
      <c r="A94" s="42" t="s">
        <v>121</v>
      </c>
      <c r="B94" s="58">
        <f>IFERROR(__xludf.DUMMYFUNCTION("IMPORTRANGE(""https://docs.google.com/spreadsheets/d/1bozxp9FwhaCNzy-RRGPVPfVYTttO4PUGDdaFvbz-Ue0/edit?gid=1870218791#gid=1870218791"", ""Rev vs Mktg &amp; Mktg Mix!B"" &amp; ROW(A32))
"),1107.0)</f>
        <v>1107</v>
      </c>
      <c r="C94" s="54">
        <f>IFERROR(__xludf.DUMMYFUNCTION("IMPORTRANGE(""https://docs.google.com/spreadsheets/d/1bozxp9FwhaCNzy-RRGPVPfVYTttO4PUGDdaFvbz-Ue0/edit?gid=1870218791#gid=1870218791"", ""Rev vs Mktg &amp; Mktg Mix!C"" &amp; ROW(C32))
"),3339.0)</f>
        <v>3339</v>
      </c>
      <c r="D94" s="54">
        <f>IFERROR(__xludf.DUMMYFUNCTION("IMPORTRANGE(""https://docs.google.com/spreadsheets/d/1bozxp9FwhaCNzy-RRGPVPfVYTttO4PUGDdaFvbz-Ue0/edit?gid=1870218791#gid=1870218791"", ""Rev vs Mktg &amp; Mktg Mix!D"" &amp; ROW(D32))
"),2747.0)</f>
        <v>2747</v>
      </c>
      <c r="E94" s="54">
        <f>IFERROR(__xludf.DUMMYFUNCTION("IMPORTRANGE(""https://docs.google.com/spreadsheets/d/1bozxp9FwhaCNzy-RRGPVPfVYTttO4PUGDdaFvbz-Ue0/edit?gid=1870218791#gid=1870218791"", ""Rev vs Mktg &amp; Mktg Mix!E"" &amp; ROW(E32))
"),1150.0)</f>
        <v>1150</v>
      </c>
      <c r="F94" s="54">
        <f>IFERROR(__xludf.DUMMYFUNCTION("IMPORTRANGE(""https://docs.google.com/spreadsheets/d/1bozxp9FwhaCNzy-RRGPVPfVYTttO4PUGDdaFvbz-Ue0/edit?gid=1870218791#gid=1870218791"", ""Rev vs Mktg &amp; Mktg Mix!F"" &amp; ROW(F32))
"),335.0)</f>
        <v>335</v>
      </c>
      <c r="G94" s="54">
        <f>IFERROR(__xludf.DUMMYFUNCTION("IMPORTRANGE(""https://docs.google.com/spreadsheets/d/1bozxp9FwhaCNzy-RRGPVPfVYTttO4PUGDdaFvbz-Ue0/edit?gid=1870218791#gid=1870218791"", ""Rev vs Mktg &amp; Mktg Mix!G"" &amp; ROW(I32))
"),155.5)</f>
        <v>155.5</v>
      </c>
      <c r="H94" s="58">
        <f>IFERROR(__xludf.DUMMYFUNCTION("IMPORTRANGE(""https://docs.google.com/spreadsheets/d/1bozxp9FwhaCNzy-RRGPVPfVYTttO4PUGDdaFvbz-Ue0/edit?gid=1870218791#gid=1870218791"", ""Rev vs Mktg &amp; Mktg Mix!H"" &amp; ROW(H32))
"),144.87)</f>
        <v>144.87</v>
      </c>
      <c r="I94" s="54">
        <f>IFERROR(__xludf.DUMMYFUNCTION("IMPORTRANGE(""https://docs.google.com/spreadsheets/d/1bozxp9FwhaCNzy-RRGPVPfVYTttO4PUGDdaFvbz-Ue0/edit?gid=1870218791#gid=1870218791"", ""Rev vs Mktg &amp; Mktg Mix!I"" &amp; ROW(K32))
"),145.6)</f>
        <v>145.6</v>
      </c>
      <c r="J94" s="54">
        <f>IFERROR(__xludf.DUMMYFUNCTION("IMPORTRANGE(""https://docs.google.com/spreadsheets/d/1bozxp9FwhaCNzy-RRGPVPfVYTttO4PUGDdaFvbz-Ue0/edit?gid=1870218791#gid=1870218791"", ""Rev vs Mktg &amp; Mktg Mix!J"" &amp; ROW(J32))
"),146.889)</f>
        <v>146.889</v>
      </c>
      <c r="K94" s="45"/>
      <c r="L94" s="54">
        <f>IFERROR(__xludf.DUMMYFUNCTION("IMPORTRANGE(""https://docs.google.com/spreadsheets/d/1bozxp9FwhaCNzy-RRGPVPfVYTttO4PUGDdaFvbz-Ue0/edit?gid=1870218791#gid=1870218791"", ""Rev vs Mktg &amp; Mktg Mix!L"" &amp; ROW(N32))
"),74.7462773169)</f>
        <v>74.74627732</v>
      </c>
      <c r="M94" s="57">
        <f>IFERROR(__xludf.DUMMYFUNCTION("IMPORTRANGE(""https://docs.google.com/spreadsheets/d/1bozxp9FwhaCNzy-RRGPVPfVYTttO4PUGDdaFvbz-Ue0/edit?gid=1870218791#gid=1870218791"", ""Rev vs Mktg &amp; Mktg Mix!M"" &amp; ROW(M32))
"),60.52667789397317)</f>
        <v>60.52667789</v>
      </c>
      <c r="N94" s="57">
        <f>IFERROR(__xludf.DUMMYFUNCTION("IMPORTRANGE(""https://docs.google.com/spreadsheets/d/1bozxp9FwhaCNzy-RRGPVPfVYTttO4PUGDdaFvbz-Ue0/edit?gid=1870218791#gid=1870218791"", ""Rev vs Mktg &amp; Mktg Mix!N"" &amp; ROW(N32))
"),7.562)</f>
        <v>7.562</v>
      </c>
      <c r="O94" s="57">
        <f>IFERROR(__xludf.DUMMYFUNCTION("IMPORTRANGE(""https://docs.google.com/spreadsheets/d/1bozxp9FwhaCNzy-RRGPVPfVYTttO4PUGDdaFvbz-Ue0/edit?gid=1870218791#gid=1870218791"", ""Rev vs Mktg &amp; Mktg Mix!O"" &amp; ROW(O32))
"),70.91499999999999)</f>
        <v>70.915</v>
      </c>
      <c r="P94" s="43"/>
      <c r="Q94" s="57"/>
      <c r="R94" s="57"/>
      <c r="S94" s="54">
        <f>IFERROR(__xludf.DUMMYFUNCTION("IMPORTRANGE(""https://docs.google.com/spreadsheets/d/1bozxp9FwhaCNzy-RRGPVPfVYTttO4PUGDdaFvbz-Ue0/edit?gid=1870218791#gid=1870218791"", ""Rev vs Mktg &amp; Mktg Mix!s"" &amp; ROW(S32))
"),97.52380000000001)</f>
        <v>97.5238</v>
      </c>
      <c r="T94" s="45">
        <f>VLOOKUP(VALUE(LEFT(A97, 4)), 'Raw Annual Revenue'!A:T, 19, FALSE) / 4</f>
        <v>32231.5</v>
      </c>
      <c r="U94" s="60">
        <f>IFERROR(__xludf.DUMMYFUNCTION("IMPORTRANGE(""https://docs.google.com/spreadsheets/d/1bozxp9FwhaCNzy-RRGPVPfVYTttO4PUGDdaFvbz-Ue0/edit?gid=1870218791#gid=1870218791"", ""Rev vs Mktg &amp; Mktg Mix!u"" &amp; ROW(U32))
"),27.561)</f>
        <v>27.561</v>
      </c>
      <c r="V94" s="43"/>
      <c r="W94" s="43"/>
      <c r="X94" s="45">
        <f>VLOOKUP(VALUE(LEFT($A96, 4)), 'Raw Annual Revenue'!$A:X, 23, FALSE) / 4
</f>
        <v>0</v>
      </c>
      <c r="Y94" s="46">
        <f>VLOOKUP(VALUE(LEFT(A94, 4)), 'Raw Annual Revenue'!A:Y, 24, FALSE) / 4</f>
        <v>532422</v>
      </c>
      <c r="Z94" s="46">
        <f>VLOOKUP(VALUE(LEFT($A94, 4)), 'Raw Annual Revenue'!$A:Z, 25, FALSE) / 4</f>
        <v>102150.2214</v>
      </c>
      <c r="AA94" s="46">
        <f>VLOOKUP(VALUE(LEFT($A94, 4)), 'Raw Annual Revenue'!$A:AA, 26, FALSE) / 4</f>
        <v>24060.5</v>
      </c>
      <c r="AB94" s="46">
        <f>VLOOKUP(VALUE(LEFT($A94, 4)), 'Raw Annual Revenue'!$A:AB, 27, FALSE) / 4</f>
        <v>356927.5</v>
      </c>
      <c r="AC94" s="46">
        <f>VLOOKUP(VALUE(LEFT($A94, 4)), 'Raw Annual Revenue'!$A:AC, 28, FALSE) / 4</f>
        <v>10254.25</v>
      </c>
    </row>
    <row r="95">
      <c r="A95" s="42" t="s">
        <v>122</v>
      </c>
      <c r="B95" s="58">
        <f>IFERROR(__xludf.DUMMYFUNCTION("IMPORTRANGE(""https://docs.google.com/spreadsheets/d/1bozxp9FwhaCNzy-RRGPVPfVYTttO4PUGDdaFvbz-Ue0/edit?gid=1870218791#gid=1870218791"", ""Rev vs Mktg &amp; Mktg Mix!B"" &amp; ROW(A33))
"),841.83)</f>
        <v>841.83</v>
      </c>
      <c r="C95" s="54">
        <f>IFERROR(__xludf.DUMMYFUNCTION("IMPORTRANGE(""https://docs.google.com/spreadsheets/d/1bozxp9FwhaCNzy-RRGPVPfVYTttO4PUGDdaFvbz-Ue0/edit?gid=1870218791#gid=1870218791"", ""Rev vs Mktg &amp; Mktg Mix!C"" &amp; ROW(C33))
"),2288.0)</f>
        <v>2288</v>
      </c>
      <c r="D95" s="54">
        <f>IFERROR(__xludf.DUMMYFUNCTION("IMPORTRANGE(""https://docs.google.com/spreadsheets/d/1bozxp9FwhaCNzy-RRGPVPfVYTttO4PUGDdaFvbz-Ue0/edit?gid=1870218791#gid=1870218791"", ""Rev vs Mktg &amp; Mktg Mix!D"" &amp; ROW(D33))
"),2209.0)</f>
        <v>2209</v>
      </c>
      <c r="E95" s="54">
        <f>IFERROR(__xludf.DUMMYFUNCTION("IMPORTRANGE(""https://docs.google.com/spreadsheets/d/1bozxp9FwhaCNzy-RRGPVPfVYTttO4PUGDdaFvbz-Ue0/edit?gid=1870218791#gid=1870218791"", ""Rev vs Mktg &amp; Mktg Mix!E"" &amp; ROW(E33))
"),669.0)</f>
        <v>669</v>
      </c>
      <c r="F95" s="54">
        <f>IFERROR(__xludf.DUMMYFUNCTION("IMPORTRANGE(""https://docs.google.com/spreadsheets/d/1bozxp9FwhaCNzy-RRGPVPfVYTttO4PUGDdaFvbz-Ue0/edit?gid=1870218791#gid=1870218791"", ""Rev vs Mktg &amp; Mktg Mix!F"" &amp; ROW(F33))
"),278.0)</f>
        <v>278</v>
      </c>
      <c r="G95" s="54">
        <f>IFERROR(__xludf.DUMMYFUNCTION("IMPORTRANGE(""https://docs.google.com/spreadsheets/d/1bozxp9FwhaCNzy-RRGPVPfVYTttO4PUGDdaFvbz-Ue0/edit?gid=1870218791#gid=1870218791"", ""Rev vs Mktg &amp; Mktg Mix!G"" &amp; ROW(I33))
"),139.8)</f>
        <v>139.8</v>
      </c>
      <c r="H95" s="58">
        <f>IFERROR(__xludf.DUMMYFUNCTION("IMPORTRANGE(""https://docs.google.com/spreadsheets/d/1bozxp9FwhaCNzy-RRGPVPfVYTttO4PUGDdaFvbz-Ue0/edit?gid=1870218791#gid=1870218791"", ""Rev vs Mktg &amp; Mktg Mix!H"" &amp; ROW(H33))
"),127.27000000000001)</f>
        <v>127.27</v>
      </c>
      <c r="I95" s="54">
        <f>IFERROR(__xludf.DUMMYFUNCTION("IMPORTRANGE(""https://docs.google.com/spreadsheets/d/1bozxp9FwhaCNzy-RRGPVPfVYTttO4PUGDdaFvbz-Ue0/edit?gid=1870218791#gid=1870218791"", ""Rev vs Mktg &amp; Mktg Mix!I"" &amp; ROW(K33))
"),76.1)</f>
        <v>76.1</v>
      </c>
      <c r="J95" s="54">
        <f>IFERROR(__xludf.DUMMYFUNCTION("IMPORTRANGE(""https://docs.google.com/spreadsheets/d/1bozxp9FwhaCNzy-RRGPVPfVYTttO4PUGDdaFvbz-Ue0/edit?gid=1870218791#gid=1870218791"", ""Rev vs Mktg &amp; Mktg Mix!J"" &amp; ROW(J33))
"),104.946)</f>
        <v>104.946</v>
      </c>
      <c r="K95" s="45"/>
      <c r="L95" s="54">
        <f>IFERROR(__xludf.DUMMYFUNCTION("IMPORTRANGE(""https://docs.google.com/spreadsheets/d/1bozxp9FwhaCNzy-RRGPVPfVYTttO4PUGDdaFvbz-Ue0/edit?gid=1870218791#gid=1870218791"", ""Rev vs Mktg &amp; Mktg Mix!L"" &amp; ROW(N33))
"),49.3937697162)</f>
        <v>49.39376972</v>
      </c>
      <c r="M95" s="57">
        <f>IFERROR(__xludf.DUMMYFUNCTION("IMPORTRANGE(""https://docs.google.com/spreadsheets/d/1bozxp9FwhaCNzy-RRGPVPfVYTttO4PUGDdaFvbz-Ue0/edit?gid=1870218791#gid=1870218791"", ""Rev vs Mktg &amp; Mktg Mix!M"" &amp; ROW(M33))
"),34.06787298603634)</f>
        <v>34.06787299</v>
      </c>
      <c r="N95" s="57">
        <f>IFERROR(__xludf.DUMMYFUNCTION("IMPORTRANGE(""https://docs.google.com/spreadsheets/d/1bozxp9FwhaCNzy-RRGPVPfVYTttO4PUGDdaFvbz-Ue0/edit?gid=1870218791#gid=1870218791"", ""Rev vs Mktg &amp; Mktg Mix!N"" &amp; ROW(N33))
"),5.335)</f>
        <v>5.335</v>
      </c>
      <c r="O95" s="57">
        <f>IFERROR(__xludf.DUMMYFUNCTION("IMPORTRANGE(""https://docs.google.com/spreadsheets/d/1bozxp9FwhaCNzy-RRGPVPfVYTttO4PUGDdaFvbz-Ue0/edit?gid=1870218791#gid=1870218791"", ""Rev vs Mktg &amp; Mktg Mix!O"" &amp; ROW(O33))
"),15.827499999999997)</f>
        <v>15.8275</v>
      </c>
      <c r="P95" s="43"/>
      <c r="Q95" s="57"/>
      <c r="R95" s="57"/>
      <c r="S95" s="54">
        <f>IFERROR(__xludf.DUMMYFUNCTION("IMPORTRANGE(""https://docs.google.com/spreadsheets/d/1bozxp9FwhaCNzy-RRGPVPfVYTttO4PUGDdaFvbz-Ue0/edit?gid=1870218791#gid=1870218791"", ""Rev vs Mktg &amp; Mktg Mix!s"" &amp; ROW(S33))
"),37.07385000000001)</f>
        <v>37.07385</v>
      </c>
      <c r="T95" s="45">
        <f>VLOOKUP(VALUE(LEFT(A98, 4)), 'Raw Annual Revenue'!A:T, 19, FALSE) / 4</f>
        <v>32231.5</v>
      </c>
      <c r="U95" s="60">
        <f>IFERROR(__xludf.DUMMYFUNCTION("IMPORTRANGE(""https://docs.google.com/spreadsheets/d/1bozxp9FwhaCNzy-RRGPVPfVYTttO4PUGDdaFvbz-Ue0/edit?gid=1870218791#gid=1870218791"", ""Rev vs Mktg &amp; Mktg Mix!u"" &amp; ROW(U33))
"),-85.006709)</f>
        <v>-85.006709</v>
      </c>
      <c r="V95" s="43"/>
      <c r="W95" s="43"/>
      <c r="X95" s="45">
        <f>VLOOKUP(VALUE(LEFT($A97, 4)), 'Raw Annual Revenue'!$A:X, 23, FALSE) / 4
</f>
        <v>0</v>
      </c>
      <c r="Y95" s="46">
        <f>VLOOKUP(VALUE(LEFT(A95, 4)), 'Raw Annual Revenue'!A:Y, 24, FALSE) / 4</f>
        <v>350714.75</v>
      </c>
      <c r="Z95" s="46">
        <f>VLOOKUP(VALUE(LEFT($A95, 4)), 'Raw Annual Revenue'!$A:Z, 25, FALSE) / 4</f>
        <v>34439.746</v>
      </c>
      <c r="AA95" s="46">
        <f>VLOOKUP(VALUE(LEFT($A95, 4)), 'Raw Annual Revenue'!$A:AA, 26, FALSE) / 4</f>
        <v>9721</v>
      </c>
      <c r="AB95" s="46">
        <f>VLOOKUP(VALUE(LEFT($A95, 4)), 'Raw Annual Revenue'!$A:AB, 27, FALSE) / 4</f>
        <v>137360.25</v>
      </c>
      <c r="AC95" s="46">
        <f>VLOOKUP(VALUE(LEFT($A95, 4)), 'Raw Annual Revenue'!$A:AC, 28, FALSE) / 4</f>
        <v>3658.75</v>
      </c>
    </row>
    <row r="96">
      <c r="A96" s="42" t="s">
        <v>123</v>
      </c>
      <c r="B96" s="58">
        <f>IFERROR(__xludf.DUMMYFUNCTION("IMPORTRANGE(""https://docs.google.com/spreadsheets/d/1bozxp9FwhaCNzy-RRGPVPfVYTttO4PUGDdaFvbz-Ue0/edit?gid=1870218791#gid=1870218791"", ""Rev vs Mktg &amp; Mktg Mix!B"" &amp; ROW(A34))
"),334.774)</f>
        <v>334.774</v>
      </c>
      <c r="C96" s="54">
        <f>IFERROR(__xludf.DUMMYFUNCTION("IMPORTRANGE(""https://docs.google.com/spreadsheets/d/1bozxp9FwhaCNzy-RRGPVPfVYTttO4PUGDdaFvbz-Ue0/edit?gid=1870218791#gid=1870218791"", ""Rev vs Mktg &amp; Mktg Mix!C"" &amp; ROW(C34))
"),630.0)</f>
        <v>630</v>
      </c>
      <c r="D96" s="54">
        <f>IFERROR(__xludf.DUMMYFUNCTION("IMPORTRANGE(""https://docs.google.com/spreadsheets/d/1bozxp9FwhaCNzy-RRGPVPfVYTttO4PUGDdaFvbz-Ue0/edit?gid=1870218791#gid=1870218791"", ""Rev vs Mktg &amp; Mktg Mix!D"" &amp; ROW(D34))
"),566.0)</f>
        <v>566</v>
      </c>
      <c r="E96" s="54">
        <f>IFERROR(__xludf.DUMMYFUNCTION("IMPORTRANGE(""https://docs.google.com/spreadsheets/d/1bozxp9FwhaCNzy-RRGPVPfVYTttO4PUGDdaFvbz-Ue0/edit?gid=1870218791#gid=1870218791"", ""Rev vs Mktg &amp; Mktg Mix!E"" &amp; ROW(E34))
"),448.0)</f>
        <v>448</v>
      </c>
      <c r="F96" s="54">
        <f>IFERROR(__xludf.DUMMYFUNCTION("IMPORTRANGE(""https://docs.google.com/spreadsheets/d/1bozxp9FwhaCNzy-RRGPVPfVYTttO4PUGDdaFvbz-Ue0/edit?gid=1870218791#gid=1870218791"", ""Rev vs Mktg &amp; Mktg Mix!F"" &amp; ROW(F34))
"),59.0)</f>
        <v>59</v>
      </c>
      <c r="G96" s="54">
        <f>IFERROR(__xludf.DUMMYFUNCTION("IMPORTRANGE(""https://docs.google.com/spreadsheets/d/1bozxp9FwhaCNzy-RRGPVPfVYTttO4PUGDdaFvbz-Ue0/edit?gid=1870218791#gid=1870218791"", ""Rev vs Mktg &amp; Mktg Mix!G"" &amp; ROW(I34))
"),16.1)</f>
        <v>16.1</v>
      </c>
      <c r="H96" s="58">
        <f>IFERROR(__xludf.DUMMYFUNCTION("IMPORTRANGE(""https://docs.google.com/spreadsheets/d/1bozxp9FwhaCNzy-RRGPVPfVYTttO4PUGDdaFvbz-Ue0/edit?gid=1870218791#gid=1870218791"", ""Rev vs Mktg &amp; Mktg Mix!H"" &amp; ROW(H34))
"),18.26)</f>
        <v>18.26</v>
      </c>
      <c r="I96" s="54">
        <f>IFERROR(__xludf.DUMMYFUNCTION("IMPORTRANGE(""https://docs.google.com/spreadsheets/d/1bozxp9FwhaCNzy-RRGPVPfVYTttO4PUGDdaFvbz-Ue0/edit?gid=1870218791#gid=1870218791"", ""Rev vs Mktg &amp; Mktg Mix!I"" &amp; ROW(K34))
"),-9.7)</f>
        <v>-9.7</v>
      </c>
      <c r="J96" s="54">
        <f>IFERROR(__xludf.DUMMYFUNCTION("IMPORTRANGE(""https://docs.google.com/spreadsheets/d/1bozxp9FwhaCNzy-RRGPVPfVYTttO4PUGDdaFvbz-Ue0/edit?gid=1870218791#gid=1870218791"", ""Rev vs Mktg &amp; Mktg Mix!J"" &amp; ROW(J34))
"),6.361)</f>
        <v>6.361</v>
      </c>
      <c r="K96" s="46">
        <f>VLOOKUP(VALUE(LEFT(A99, 4)), 'Raw Annual Revenue'!A:K, 11, FALSE) / 4</f>
        <v>4673.25</v>
      </c>
      <c r="L96" s="54">
        <f>IFERROR(__xludf.DUMMYFUNCTION("IMPORTRANGE(""https://docs.google.com/spreadsheets/d/1bozxp9FwhaCNzy-RRGPVPfVYTttO4PUGDdaFvbz-Ue0/edit?gid=1870218791#gid=1870218791"", ""Rev vs Mktg &amp; Mktg Mix!L"" &amp; ROW(N34))
"),7.024344599999999)</f>
        <v>7.0243446</v>
      </c>
      <c r="M96" s="57">
        <f>IFERROR(__xludf.DUMMYFUNCTION("IMPORTRANGE(""https://docs.google.com/spreadsheets/d/1bozxp9FwhaCNzy-RRGPVPfVYTttO4PUGDdaFvbz-Ue0/edit?gid=1870218791#gid=1870218791"", ""Rev vs Mktg &amp; Mktg Mix!M"" &amp; ROW(M34))
"),5.735623286143174)</f>
        <v>5.735623286</v>
      </c>
      <c r="N96" s="57">
        <f>IFERROR(__xludf.DUMMYFUNCTION("IMPORTRANGE(""https://docs.google.com/spreadsheets/d/1bozxp9FwhaCNzy-RRGPVPfVYTttO4PUGDdaFvbz-Ue0/edit?gid=1870218791#gid=1870218791"", ""Rev vs Mktg &amp; Mktg Mix!N"" &amp; ROW(N34))
"),0.27)</f>
        <v>0.27</v>
      </c>
      <c r="O96" s="57">
        <f>IFERROR(__xludf.DUMMYFUNCTION("IMPORTRANGE(""https://docs.google.com/spreadsheets/d/1bozxp9FwhaCNzy-RRGPVPfVYTttO4PUGDdaFvbz-Ue0/edit?gid=1870218791#gid=1870218791"", ""Rev vs Mktg &amp; Mktg Mix!O"" &amp; ROW(O34))
"),15.827499999999997)</f>
        <v>15.8275</v>
      </c>
      <c r="P96" s="43"/>
      <c r="Q96" s="57"/>
      <c r="R96" s="57"/>
      <c r="S96" s="54">
        <f>IFERROR(__xludf.DUMMYFUNCTION("IMPORTRANGE(""https://docs.google.com/spreadsheets/d/1bozxp9FwhaCNzy-RRGPVPfVYTttO4PUGDdaFvbz-Ue0/edit?gid=1870218791#gid=1870218791"", ""Rev vs Mktg &amp; Mktg Mix!s"" &amp; ROW(S34))
"),37.07385000000001)</f>
        <v>37.07385</v>
      </c>
      <c r="T96" s="45">
        <f>VLOOKUP(VALUE(LEFT(A99, 4)), 'Raw Annual Revenue'!A:T, 19, FALSE) / 4</f>
        <v>46606</v>
      </c>
      <c r="U96" s="60">
        <f>IFERROR(__xludf.DUMMYFUNCTION("IMPORTRANGE(""https://docs.google.com/spreadsheets/d/1bozxp9FwhaCNzy-RRGPVPfVYTttO4PUGDdaFvbz-Ue0/edit?gid=1870218791#gid=1870218791"", ""Rev vs Mktg &amp; Mktg Mix!u"" &amp; ROW(U34))
"),2.542)</f>
        <v>2.542</v>
      </c>
      <c r="V96" s="43"/>
      <c r="W96" s="43"/>
      <c r="X96" s="45">
        <f>VLOOKUP(VALUE(LEFT($A98, 4)), 'Raw Annual Revenue'!$A:X, 23, FALSE) / 4
</f>
        <v>0</v>
      </c>
      <c r="Y96" s="46">
        <f>VLOOKUP(VALUE(LEFT(A96, 4)), 'Raw Annual Revenue'!A:Y, 24, FALSE) / 4</f>
        <v>350714.75</v>
      </c>
      <c r="Z96" s="46">
        <f>VLOOKUP(VALUE(LEFT($A96, 4)), 'Raw Annual Revenue'!$A:Z, 25, FALSE) / 4</f>
        <v>34439.746</v>
      </c>
      <c r="AA96" s="46">
        <f>VLOOKUP(VALUE(LEFT($A96, 4)), 'Raw Annual Revenue'!$A:AA, 26, FALSE) / 4</f>
        <v>9721</v>
      </c>
      <c r="AB96" s="46">
        <f>VLOOKUP(VALUE(LEFT($A96, 4)), 'Raw Annual Revenue'!$A:AB, 27, FALSE) / 4</f>
        <v>137360.25</v>
      </c>
      <c r="AC96" s="46">
        <f>VLOOKUP(VALUE(LEFT($A96, 4)), 'Raw Annual Revenue'!$A:AC, 28, FALSE) / 4</f>
        <v>3658.75</v>
      </c>
    </row>
    <row r="97">
      <c r="A97" s="42" t="s">
        <v>124</v>
      </c>
      <c r="B97" s="58">
        <f>IFERROR(__xludf.DUMMYFUNCTION("IMPORTRANGE(""https://docs.google.com/spreadsheets/d/1bozxp9FwhaCNzy-RRGPVPfVYTttO4PUGDdaFvbz-Ue0/edit?gid=1870218791#gid=1870218791"", ""Rev vs Mktg &amp; Mktg Mix!B"" &amp; ROW(A35))
"),1342.0)</f>
        <v>1342</v>
      </c>
      <c r="C97" s="54">
        <f>IFERROR(__xludf.DUMMYFUNCTION("IMPORTRANGE(""https://docs.google.com/spreadsheets/d/1bozxp9FwhaCNzy-RRGPVPfVYTttO4PUGDdaFvbz-Ue0/edit?gid=1870218791#gid=1870218791"", ""Rev vs Mktg &amp; Mktg Mix!C"" &amp; ROW(C35))
"),2640.0)</f>
        <v>2640</v>
      </c>
      <c r="D97" s="54">
        <f>IFERROR(__xludf.DUMMYFUNCTION("IMPORTRANGE(""https://docs.google.com/spreadsheets/d/1bozxp9FwhaCNzy-RRGPVPfVYTttO4PUGDdaFvbz-Ue0/edit?gid=1870218791#gid=1870218791"", ""Rev vs Mktg &amp; Mktg Mix!D"" &amp; ROW(D35))
"),1504.0)</f>
        <v>1504</v>
      </c>
      <c r="E97" s="54">
        <f>IFERROR(__xludf.DUMMYFUNCTION("IMPORTRANGE(""https://docs.google.com/spreadsheets/d/1bozxp9FwhaCNzy-RRGPVPfVYTttO4PUGDdaFvbz-Ue0/edit?gid=1870218791#gid=1870218791"", ""Rev vs Mktg &amp; Mktg Mix!E"" &amp; ROW(E35))
"),805.0)</f>
        <v>805</v>
      </c>
      <c r="F97" s="54">
        <f>IFERROR(__xludf.DUMMYFUNCTION("IMPORTRANGE(""https://docs.google.com/spreadsheets/d/1bozxp9FwhaCNzy-RRGPVPfVYTttO4PUGDdaFvbz-Ue0/edit?gid=1870218791#gid=1870218791"", ""Rev vs Mktg &amp; Mktg Mix!F"" &amp; ROW(F35))
"),151.0)</f>
        <v>151</v>
      </c>
      <c r="G97" s="54">
        <f>IFERROR(__xludf.DUMMYFUNCTION("IMPORTRANGE(""https://docs.google.com/spreadsheets/d/1bozxp9FwhaCNzy-RRGPVPfVYTttO4PUGDdaFvbz-Ue0/edit?gid=1870218791#gid=1870218791"", ""Rev vs Mktg &amp; Mktg Mix!G"" &amp; ROW(I35))
"),60.6)</f>
        <v>60.6</v>
      </c>
      <c r="H97" s="58">
        <f>IFERROR(__xludf.DUMMYFUNCTION("IMPORTRANGE(""https://docs.google.com/spreadsheets/d/1bozxp9FwhaCNzy-RRGPVPfVYTttO4PUGDdaFvbz-Ue0/edit?gid=1870218791#gid=1870218791"", ""Rev vs Mktg &amp; Mktg Mix!H"" &amp; ROW(H35))
"),37.84)</f>
        <v>37.84</v>
      </c>
      <c r="I97" s="54">
        <f>IFERROR(__xludf.DUMMYFUNCTION("IMPORTRANGE(""https://docs.google.com/spreadsheets/d/1bozxp9FwhaCNzy-RRGPVPfVYTttO4PUGDdaFvbz-Ue0/edit?gid=1870218791#gid=1870218791"", ""Rev vs Mktg &amp; Mktg Mix!I"" &amp; ROW(K35))
"),11.7)</f>
        <v>11.7</v>
      </c>
      <c r="J97" s="54">
        <f>IFERROR(__xludf.DUMMYFUNCTION("IMPORTRANGE(""https://docs.google.com/spreadsheets/d/1bozxp9FwhaCNzy-RRGPVPfVYTttO4PUGDdaFvbz-Ue0/edit?gid=1870218791#gid=1870218791"", ""Rev vs Mktg &amp; Mktg Mix!J"" &amp; ROW(J35))
"),23.038999999999998)</f>
        <v>23.039</v>
      </c>
      <c r="K97" s="46">
        <f>VLOOKUP(VALUE(LEFT(A100, 4)), 'Raw Annual Revenue'!A:K, 11, FALSE) / 4</f>
        <v>4673.25</v>
      </c>
      <c r="L97" s="54">
        <f>IFERROR(__xludf.DUMMYFUNCTION("IMPORTRANGE(""https://docs.google.com/spreadsheets/d/1bozxp9FwhaCNzy-RRGPVPfVYTttO4PUGDdaFvbz-Ue0/edit?gid=1870218791#gid=1870218791"", ""Rev vs Mktg &amp; Mktg Mix!L"" &amp; ROW(N35))
"),8.0420718)</f>
        <v>8.0420718</v>
      </c>
      <c r="M97" s="57">
        <f>IFERROR(__xludf.DUMMYFUNCTION("IMPORTRANGE(""https://docs.google.com/spreadsheets/d/1bozxp9FwhaCNzy-RRGPVPfVYTttO4PUGDdaFvbz-Ue0/edit?gid=1870218791#gid=1870218791"", ""Rev vs Mktg &amp; Mktg Mix!M"" &amp; ROW(M35))
"),12.191802261500316)</f>
        <v>12.19180226</v>
      </c>
      <c r="N97" s="57">
        <f>IFERROR(__xludf.DUMMYFUNCTION("IMPORTRANGE(""https://docs.google.com/spreadsheets/d/1bozxp9FwhaCNzy-RRGPVPfVYTttO4PUGDdaFvbz-Ue0/edit?gid=1870218791#gid=1870218791"", ""Rev vs Mktg &amp; Mktg Mix!N"" &amp; ROW(N35))
"),0.921)</f>
        <v>0.921</v>
      </c>
      <c r="O97" s="57">
        <f>IFERROR(__xludf.DUMMYFUNCTION("IMPORTRANGE(""https://docs.google.com/spreadsheets/d/1bozxp9FwhaCNzy-RRGPVPfVYTttO4PUGDdaFvbz-Ue0/edit?gid=1870218791#gid=1870218791"", ""Rev vs Mktg &amp; Mktg Mix!O"" &amp; ROW(O35))
"),7.4425)</f>
        <v>7.4425</v>
      </c>
      <c r="P97" s="43"/>
      <c r="Q97" s="57"/>
      <c r="R97" s="57"/>
      <c r="S97" s="54">
        <f>IFERROR(__xludf.DUMMYFUNCTION("IMPORTRANGE(""https://docs.google.com/spreadsheets/d/1bozxp9FwhaCNzy-RRGPVPfVYTttO4PUGDdaFvbz-Ue0/edit?gid=1870218791#gid=1870218791"", ""Rev vs Mktg &amp; Mktg Mix!s"" &amp; ROW(S35))
"),20.4787)</f>
        <v>20.4787</v>
      </c>
      <c r="T97" s="45">
        <f>VLOOKUP(VALUE(LEFT(A100, 4)), 'Raw Annual Revenue'!A:T, 19, FALSE) / 4</f>
        <v>46606</v>
      </c>
      <c r="U97" s="60">
        <f>IFERROR(__xludf.DUMMYFUNCTION("IMPORTRANGE(""https://docs.google.com/spreadsheets/d/1bozxp9FwhaCNzy-RRGPVPfVYTttO4PUGDdaFvbz-Ue0/edit?gid=1870218791#gid=1870218791"", ""Rev vs Mktg &amp; Mktg Mix!u"" &amp; ROW(U35))
"),3.58)</f>
        <v>3.58</v>
      </c>
      <c r="V97" s="43"/>
      <c r="W97" s="43"/>
      <c r="X97" s="45">
        <f>VLOOKUP(VALUE(LEFT($A99, 4)), 'Raw Annual Revenue'!$A:X, 23, FALSE) / 4
</f>
        <v>0</v>
      </c>
      <c r="Y97" s="46">
        <f>VLOOKUP(VALUE(LEFT(A97, 4)), 'Raw Annual Revenue'!A:Y, 24, FALSE) / 4</f>
        <v>350714.75</v>
      </c>
      <c r="Z97" s="46">
        <f>VLOOKUP(VALUE(LEFT($A97, 4)), 'Raw Annual Revenue'!$A:Z, 25, FALSE) / 4</f>
        <v>34439.746</v>
      </c>
      <c r="AA97" s="46">
        <f>VLOOKUP(VALUE(LEFT($A97, 4)), 'Raw Annual Revenue'!$A:AA, 26, FALSE) / 4</f>
        <v>9721</v>
      </c>
      <c r="AB97" s="46">
        <f>VLOOKUP(VALUE(LEFT($A97, 4)), 'Raw Annual Revenue'!$A:AB, 27, FALSE) / 4</f>
        <v>137360.25</v>
      </c>
      <c r="AC97" s="46">
        <f>VLOOKUP(VALUE(LEFT($A97, 4)), 'Raw Annual Revenue'!$A:AC, 28, FALSE) / 4</f>
        <v>3658.75</v>
      </c>
    </row>
    <row r="98">
      <c r="A98" s="42" t="s">
        <v>125</v>
      </c>
      <c r="B98" s="58">
        <f>IFERROR(__xludf.DUMMYFUNCTION("IMPORTRANGE(""https://docs.google.com/spreadsheets/d/1bozxp9FwhaCNzy-RRGPVPfVYTttO4PUGDdaFvbz-Ue0/edit?gid=1870218791#gid=1870218791"", ""Rev vs Mktg &amp; Mktg Mix!B"" &amp; ROW(A36))
"),859.0)</f>
        <v>859</v>
      </c>
      <c r="C98" s="54">
        <f>IFERROR(__xludf.DUMMYFUNCTION("IMPORTRANGE(""https://docs.google.com/spreadsheets/d/1bozxp9FwhaCNzy-RRGPVPfVYTttO4PUGDdaFvbz-Ue0/edit?gid=1870218791#gid=1870218791"", ""Rev vs Mktg &amp; Mktg Mix!C"" &amp; ROW(C36))
"),1238.0)</f>
        <v>1238</v>
      </c>
      <c r="D98" s="54">
        <f>IFERROR(__xludf.DUMMYFUNCTION("IMPORTRANGE(""https://docs.google.com/spreadsheets/d/1bozxp9FwhaCNzy-RRGPVPfVYTttO4PUGDdaFvbz-Ue0/edit?gid=1870218791#gid=1870218791"", ""Rev vs Mktg &amp; Mktg Mix!D"" &amp; ROW(D36))
"),920.0)</f>
        <v>920</v>
      </c>
      <c r="E98" s="54">
        <f>IFERROR(__xludf.DUMMYFUNCTION("IMPORTRANGE(""https://docs.google.com/spreadsheets/d/1bozxp9FwhaCNzy-RRGPVPfVYTttO4PUGDdaFvbz-Ue0/edit?gid=1870218791#gid=1870218791"", ""Rev vs Mktg &amp; Mktg Mix!E"" &amp; ROW(E36))
"),761.0)</f>
        <v>761</v>
      </c>
      <c r="F98" s="54">
        <f>IFERROR(__xludf.DUMMYFUNCTION("IMPORTRANGE(""https://docs.google.com/spreadsheets/d/1bozxp9FwhaCNzy-RRGPVPfVYTttO4PUGDdaFvbz-Ue0/edit?gid=1870218791#gid=1870218791"", ""Rev vs Mktg &amp; Mktg Mix!F"" &amp; ROW(F36))
"),116.0)</f>
        <v>116</v>
      </c>
      <c r="G98" s="54">
        <f>IFERROR(__xludf.DUMMYFUNCTION("IMPORTRANGE(""https://docs.google.com/spreadsheets/d/1bozxp9FwhaCNzy-RRGPVPfVYTttO4PUGDdaFvbz-Ue0/edit?gid=1870218791#gid=1870218791"", ""Rev vs Mktg &amp; Mktg Mix!G"" &amp; ROW(I36))
"),32.3)</f>
        <v>32.3</v>
      </c>
      <c r="H98" s="58">
        <f>IFERROR(__xludf.DUMMYFUNCTION("IMPORTRANGE(""https://docs.google.com/spreadsheets/d/1bozxp9FwhaCNzy-RRGPVPfVYTttO4PUGDdaFvbz-Ue0/edit?gid=1870218791#gid=1870218791"", ""Rev vs Mktg &amp; Mktg Mix!H"" &amp; ROW(H36))
"),33.0)</f>
        <v>33</v>
      </c>
      <c r="I98" s="54">
        <f>IFERROR(__xludf.DUMMYFUNCTION("IMPORTRANGE(""https://docs.google.com/spreadsheets/d/1bozxp9FwhaCNzy-RRGPVPfVYTttO4PUGDdaFvbz-Ue0/edit?gid=1870218791#gid=1870218791"", ""Rev vs Mktg &amp; Mktg Mix!I"" &amp; ROW(K36))
"),53.246)</f>
        <v>53.246</v>
      </c>
      <c r="J98" s="54">
        <f>IFERROR(__xludf.DUMMYFUNCTION("IMPORTRANGE(""https://docs.google.com/spreadsheets/d/1bozxp9FwhaCNzy-RRGPVPfVYTttO4PUGDdaFvbz-Ue0/edit?gid=1870218791#gid=1870218791"", ""Rev vs Mktg &amp; Mktg Mix!J"" &amp; ROW(J36))
"),56.806)</f>
        <v>56.806</v>
      </c>
      <c r="K98" s="46">
        <f>VLOOKUP(VALUE(LEFT(A101, 4)), 'Raw Annual Revenue'!A:K, 11, FALSE) / 4</f>
        <v>4673.25</v>
      </c>
      <c r="L98" s="54">
        <f>IFERROR(__xludf.DUMMYFUNCTION("IMPORTRANGE(""https://docs.google.com/spreadsheets/d/1bozxp9FwhaCNzy-RRGPVPfVYTttO4PUGDdaFvbz-Ue0/edit?gid=1870218791#gid=1870218791"", ""Rev vs Mktg &amp; Mktg Mix!L"" &amp; ROW(N36))
"),17.4055124838)</f>
        <v>17.40551248</v>
      </c>
      <c r="M98" s="57">
        <f>IFERROR(__xludf.DUMMYFUNCTION("IMPORTRANGE(""https://docs.google.com/spreadsheets/d/1bozxp9FwhaCNzy-RRGPVPfVYTttO4PUGDdaFvbz-Ue0/edit?gid=1870218791#gid=1870218791"", ""Rev vs Mktg &amp; Mktg Mix!M"" &amp; ROW(M36))
"),17.840958864937814)</f>
        <v>17.84095886</v>
      </c>
      <c r="N98" s="57">
        <f>IFERROR(__xludf.DUMMYFUNCTION("IMPORTRANGE(""https://docs.google.com/spreadsheets/d/1bozxp9FwhaCNzy-RRGPVPfVYTttO4PUGDdaFvbz-Ue0/edit?gid=1870218791#gid=1870218791"", ""Rev vs Mktg &amp; Mktg Mix!N"" &amp; ROW(N36))
"),1.671)</f>
        <v>1.671</v>
      </c>
      <c r="O98" s="57">
        <f>IFERROR(__xludf.DUMMYFUNCTION("IMPORTRANGE(""https://docs.google.com/spreadsheets/d/1bozxp9FwhaCNzy-RRGPVPfVYTttO4PUGDdaFvbz-Ue0/edit?gid=1870218791#gid=1870218791"", ""Rev vs Mktg &amp; Mktg Mix!O"" &amp; ROW(O36))
"),7.4425)</f>
        <v>7.4425</v>
      </c>
      <c r="P98" s="43"/>
      <c r="Q98" s="57"/>
      <c r="R98" s="57"/>
      <c r="S98" s="54">
        <f>IFERROR(__xludf.DUMMYFUNCTION("IMPORTRANGE(""https://docs.google.com/spreadsheets/d/1bozxp9FwhaCNzy-RRGPVPfVYTttO4PUGDdaFvbz-Ue0/edit?gid=1870218791#gid=1870218791"", ""Rev vs Mktg &amp; Mktg Mix!s"" &amp; ROW(S36))
"),20.4787)</f>
        <v>20.4787</v>
      </c>
      <c r="T98" s="45">
        <f>VLOOKUP(VALUE(LEFT(A101, 4)), 'Raw Annual Revenue'!A:T, 19, FALSE) / 4</f>
        <v>46606</v>
      </c>
      <c r="U98" s="60">
        <f>IFERROR(__xludf.DUMMYFUNCTION("IMPORTRANGE(""https://docs.google.com/spreadsheets/d/1bozxp9FwhaCNzy-RRGPVPfVYTttO4PUGDdaFvbz-Ue0/edit?gid=1870218791#gid=1870218791"", ""Rev vs Mktg &amp; Mktg Mix!u"" &amp; ROW(U36))
"),4.234)</f>
        <v>4.234</v>
      </c>
      <c r="V98" s="43"/>
      <c r="W98" s="43"/>
      <c r="X98" s="45">
        <f>VLOOKUP(VALUE(LEFT($A100, 4)), 'Raw Annual Revenue'!$A:X, 23, FALSE) / 4
</f>
        <v>0</v>
      </c>
      <c r="Y98" s="46">
        <f>VLOOKUP(VALUE(LEFT(A98, 4)), 'Raw Annual Revenue'!A:Y, 24, FALSE) / 4</f>
        <v>350714.75</v>
      </c>
      <c r="Z98" s="46">
        <f>VLOOKUP(VALUE(LEFT($A98, 4)), 'Raw Annual Revenue'!$A:Z, 25, FALSE) / 4</f>
        <v>34439.746</v>
      </c>
      <c r="AA98" s="46">
        <f>VLOOKUP(VALUE(LEFT($A98, 4)), 'Raw Annual Revenue'!$A:AA, 26, FALSE) / 4</f>
        <v>9721</v>
      </c>
      <c r="AB98" s="46">
        <f>VLOOKUP(VALUE(LEFT($A98, 4)), 'Raw Annual Revenue'!$A:AB, 27, FALSE) / 4</f>
        <v>137360.25</v>
      </c>
      <c r="AC98" s="46">
        <f>VLOOKUP(VALUE(LEFT($A98, 4)), 'Raw Annual Revenue'!$A:AC, 28, FALSE) / 4</f>
        <v>3658.75</v>
      </c>
    </row>
    <row r="99">
      <c r="A99" s="42" t="s">
        <v>126</v>
      </c>
      <c r="B99" s="58">
        <f>IFERROR(__xludf.DUMMYFUNCTION("IMPORTRANGE(""https://docs.google.com/spreadsheets/d/1bozxp9FwhaCNzy-RRGPVPfVYTttO4PUGDdaFvbz-Ue0/edit?gid=1870218791#gid=1870218791"", ""Rev vs Mktg &amp; Mktg Mix!B"" &amp; ROW(A37))
"),886.936)</f>
        <v>886.936</v>
      </c>
      <c r="C99" s="54">
        <f>IFERROR(__xludf.DUMMYFUNCTION("IMPORTRANGE(""https://docs.google.com/spreadsheets/d/1bozxp9FwhaCNzy-RRGPVPfVYTttO4PUGDdaFvbz-Ue0/edit?gid=1870218791#gid=1870218791"", ""Rev vs Mktg &amp; Mktg Mix!C"" &amp; ROW(C37))
"),1141.0)</f>
        <v>1141</v>
      </c>
      <c r="D99" s="54">
        <f>IFERROR(__xludf.DUMMYFUNCTION("IMPORTRANGE(""https://docs.google.com/spreadsheets/d/1bozxp9FwhaCNzy-RRGPVPfVYTttO4PUGDdaFvbz-Ue0/edit?gid=1870218791#gid=1870218791"", ""Rev vs Mktg &amp; Mktg Mix!D"" &amp; ROW(D37))
"),1246.0)</f>
        <v>1246</v>
      </c>
      <c r="E99" s="54">
        <f>IFERROR(__xludf.DUMMYFUNCTION("IMPORTRANGE(""https://docs.google.com/spreadsheets/d/1bozxp9FwhaCNzy-RRGPVPfVYTttO4PUGDdaFvbz-Ue0/edit?gid=1870218791#gid=1870218791"", ""Rev vs Mktg &amp; Mktg Mix!E"" &amp; ROW(E37))
"),628.0)</f>
        <v>628</v>
      </c>
      <c r="F99" s="54">
        <f>IFERROR(__xludf.DUMMYFUNCTION("IMPORTRANGE(""https://docs.google.com/spreadsheets/d/1bozxp9FwhaCNzy-RRGPVPfVYTttO4PUGDdaFvbz-Ue0/edit?gid=1870218791#gid=1870218791"", ""Rev vs Mktg &amp; Mktg Mix!F"" &amp; ROW(F37))
"),123.0)</f>
        <v>123</v>
      </c>
      <c r="G99" s="54">
        <f>IFERROR(__xludf.DUMMYFUNCTION("IMPORTRANGE(""https://docs.google.com/spreadsheets/d/1bozxp9FwhaCNzy-RRGPVPfVYTttO4PUGDdaFvbz-Ue0/edit?gid=1870218791#gid=1870218791"", ""Rev vs Mktg &amp; Mktg Mix!G"" &amp; ROW(I37))
"),38.2)</f>
        <v>38.2</v>
      </c>
      <c r="H99" s="58">
        <f>IFERROR(__xludf.DUMMYFUNCTION("IMPORTRANGE(""https://docs.google.com/spreadsheets/d/1bozxp9FwhaCNzy-RRGPVPfVYTttO4PUGDdaFvbz-Ue0/edit?gid=1870218791#gid=1870218791"", ""Rev vs Mktg &amp; Mktg Mix!H"" &amp; ROW(H37))
"),33.11000000000001)</f>
        <v>33.11</v>
      </c>
      <c r="I99" s="54">
        <f>IFERROR(__xludf.DUMMYFUNCTION("IMPORTRANGE(""https://docs.google.com/spreadsheets/d/1bozxp9FwhaCNzy-RRGPVPfVYTttO4PUGDdaFvbz-Ue0/edit?gid=1870218791#gid=1870218791"", ""Rev vs Mktg &amp; Mktg Mix!I"" &amp; ROW(K37))
"),51.85)</f>
        <v>51.85</v>
      </c>
      <c r="J99" s="54">
        <f>IFERROR(__xludf.DUMMYFUNCTION("IMPORTRANGE(""https://docs.google.com/spreadsheets/d/1bozxp9FwhaCNzy-RRGPVPfVYTttO4PUGDdaFvbz-Ue0/edit?gid=1870218791#gid=1870218791"", ""Rev vs Mktg &amp; Mktg Mix!J"" &amp; ROW(J37))
"),79.221)</f>
        <v>79.221</v>
      </c>
      <c r="K99" s="46">
        <f>VLOOKUP(VALUE(LEFT(A102, 4)), 'Raw Annual Revenue'!A:K, 11, FALSE) / 4</f>
        <v>4673.25</v>
      </c>
      <c r="L99" s="54">
        <f>IFERROR(__xludf.DUMMYFUNCTION("IMPORTRANGE(""https://docs.google.com/spreadsheets/d/1bozxp9FwhaCNzy-RRGPVPfVYTttO4PUGDdaFvbz-Ue0/edit?gid=1870218791#gid=1870218791"", ""Rev vs Mktg &amp; Mktg Mix!L"" &amp; ROW(N37))
"),15.6171519)</f>
        <v>15.6171519</v>
      </c>
      <c r="M99" s="57">
        <f>IFERROR(__xludf.DUMMYFUNCTION("IMPORTRANGE(""https://docs.google.com/spreadsheets/d/1bozxp9FwhaCNzy-RRGPVPfVYTttO4PUGDdaFvbz-Ue0/edit?gid=1870218791#gid=1870218791"", ""Rev vs Mktg &amp; Mktg Mix!M"" &amp; ROW(M37))
"),20.262025980696745)</f>
        <v>20.26202598</v>
      </c>
      <c r="N99" s="57">
        <f>IFERROR(__xludf.DUMMYFUNCTION("IMPORTRANGE(""https://docs.google.com/spreadsheets/d/1bozxp9FwhaCNzy-RRGPVPfVYTttO4PUGDdaFvbz-Ue0/edit?gid=1870218791#gid=1870218791"", ""Rev vs Mktg &amp; Mktg Mix!N"" &amp; ROW(N37))
"),1.655)</f>
        <v>1.655</v>
      </c>
      <c r="O99" s="57">
        <f>IFERROR(__xludf.DUMMYFUNCTION("IMPORTRANGE(""https://docs.google.com/spreadsheets/d/1bozxp9FwhaCNzy-RRGPVPfVYTttO4PUGDdaFvbz-Ue0/edit?gid=1870218791#gid=1870218791"", ""Rev vs Mktg &amp; Mktg Mix!O"" &amp; ROW(O37))
"),5.135000000000002)</f>
        <v>5.135</v>
      </c>
      <c r="P99" s="53">
        <f>IFERROR(__xludf.DUMMYFUNCTION("IMPORTRANGE(""https://docs.google.com/spreadsheets/d/1bozxp9FwhaCNzy-RRGPVPfVYTttO4PUGDdaFvbz-Ue0/edit?gid=1870218791#gid=1870218791"", ""Rev vs Mktg &amp; Mktg Mix!P"" &amp; ROW(P37))
"),7.41)</f>
        <v>7.41</v>
      </c>
      <c r="Q99" s="57"/>
      <c r="R99" s="57"/>
      <c r="S99" s="54">
        <f>IFERROR(__xludf.DUMMYFUNCTION("IMPORTRANGE(""https://docs.google.com/spreadsheets/d/1bozxp9FwhaCNzy-RRGPVPfVYTttO4PUGDdaFvbz-Ue0/edit?gid=1870218791#gid=1870218791"", ""Rev vs Mktg &amp; Mktg Mix!s"" &amp; ROW(S37))
"),29.0664)</f>
        <v>29.0664</v>
      </c>
      <c r="T99" s="45">
        <f>VLOOKUP(VALUE(LEFT(A102, 4)), 'Raw Annual Revenue'!A:T, 19, FALSE) / 4</f>
        <v>46606</v>
      </c>
      <c r="U99" s="60">
        <f>IFERROR(__xludf.DUMMYFUNCTION("IMPORTRANGE(""https://docs.google.com/spreadsheets/d/1bozxp9FwhaCNzy-RRGPVPfVYTttO4PUGDdaFvbz-Ue0/edit?gid=1870218791#gid=1870218791"", ""Rev vs Mktg &amp; Mktg Mix!u"" &amp; ROW(U37))
"),6.93)</f>
        <v>6.93</v>
      </c>
      <c r="V99" s="43"/>
      <c r="W99" s="43"/>
      <c r="X99" s="45">
        <f>VLOOKUP(VALUE(LEFT($A101, 4)), 'Raw Annual Revenue'!$A:X, 23, FALSE) / 4
</f>
        <v>0</v>
      </c>
      <c r="Y99" s="46">
        <f>VLOOKUP(VALUE(LEFT(A99, 4)), 'Raw Annual Revenue'!A:Y, 24, FALSE) / 4</f>
        <v>118636.5</v>
      </c>
      <c r="Z99" s="46">
        <f>VLOOKUP(VALUE(LEFT($A99, 4)), 'Raw Annual Revenue'!$A:Z, 25, FALSE) / 4</f>
        <v>38294.2887</v>
      </c>
      <c r="AA99" s="46">
        <f>VLOOKUP(VALUE(LEFT($A99, 4)), 'Raw Annual Revenue'!$A:AA, 26, FALSE) / 4</f>
        <v>12928.5</v>
      </c>
      <c r="AB99" s="46">
        <f>VLOOKUP(VALUE(LEFT($A99, 4)), 'Raw Annual Revenue'!$A:AB, 27, FALSE) / 4</f>
        <v>194090.5</v>
      </c>
      <c r="AC99" s="46">
        <f>VLOOKUP(VALUE(LEFT($A99, 4)), 'Raw Annual Revenue'!$A:AC, 28, FALSE) / 4</f>
        <v>3825.75</v>
      </c>
    </row>
    <row r="100">
      <c r="A100" s="42" t="s">
        <v>127</v>
      </c>
      <c r="B100" s="58">
        <f>IFERROR(__xludf.DUMMYFUNCTION("IMPORTRANGE(""https://docs.google.com/spreadsheets/d/1bozxp9FwhaCNzy-RRGPVPfVYTttO4PUGDdaFvbz-Ue0/edit?gid=1870218791#gid=1870218791"", ""Rev vs Mktg &amp; Mktg Mix!B"" &amp; ROW(A38))
"),1335.196)</f>
        <v>1335.196</v>
      </c>
      <c r="C100" s="54">
        <f>IFERROR(__xludf.DUMMYFUNCTION("IMPORTRANGE(""https://docs.google.com/spreadsheets/d/1bozxp9FwhaCNzy-RRGPVPfVYTttO4PUGDdaFvbz-Ue0/edit?gid=1870218791#gid=1870218791"", ""Rev vs Mktg &amp; Mktg Mix!C"" &amp; ROW(C38))
"),2160.0)</f>
        <v>2160</v>
      </c>
      <c r="D100" s="54">
        <f>IFERROR(__xludf.DUMMYFUNCTION("IMPORTRANGE(""https://docs.google.com/spreadsheets/d/1bozxp9FwhaCNzy-RRGPVPfVYTttO4PUGDdaFvbz-Ue0/edit?gid=1870218791#gid=1870218791"", ""Rev vs Mktg &amp; Mktg Mix!D"" &amp; ROW(D38))
"),2111.0)</f>
        <v>2111</v>
      </c>
      <c r="E100" s="54">
        <f>IFERROR(__xludf.DUMMYFUNCTION("IMPORTRANGE(""https://docs.google.com/spreadsheets/d/1bozxp9FwhaCNzy-RRGPVPfVYTttO4PUGDdaFvbz-Ue0/edit?gid=1870218791#gid=1870218791"", ""Rev vs Mktg &amp; Mktg Mix!E"" &amp; ROW(E38))
"),912.0)</f>
        <v>912</v>
      </c>
      <c r="F100" s="54">
        <f>IFERROR(__xludf.DUMMYFUNCTION("IMPORTRANGE(""https://docs.google.com/spreadsheets/d/1bozxp9FwhaCNzy-RRGPVPfVYTttO4PUGDdaFvbz-Ue0/edit?gid=1870218791#gid=1870218791"", ""Rev vs Mktg &amp; Mktg Mix!F"" &amp; ROW(F38))
"),235.0)</f>
        <v>235</v>
      </c>
      <c r="G100" s="54">
        <f>IFERROR(__xludf.DUMMYFUNCTION("IMPORTRANGE(""https://docs.google.com/spreadsheets/d/1bozxp9FwhaCNzy-RRGPVPfVYTttO4PUGDdaFvbz-Ue0/edit?gid=1870218791#gid=1870218791"", ""Rev vs Mktg &amp; Mktg Mix!G"" &amp; ROW(I38))
"),95.474)</f>
        <v>95.474</v>
      </c>
      <c r="H100" s="58">
        <f>IFERROR(__xludf.DUMMYFUNCTION("IMPORTRANGE(""https://docs.google.com/spreadsheets/d/1bozxp9FwhaCNzy-RRGPVPfVYTttO4PUGDdaFvbz-Ue0/edit?gid=1870218791#gid=1870218791"", ""Rev vs Mktg &amp; Mktg Mix!H"" &amp; ROW(H38))
"),75.24000000000001)</f>
        <v>75.24</v>
      </c>
      <c r="I100" s="54">
        <f>IFERROR(__xludf.DUMMYFUNCTION("IMPORTRANGE(""https://docs.google.com/spreadsheets/d/1bozxp9FwhaCNzy-RRGPVPfVYTttO4PUGDdaFvbz-Ue0/edit?gid=1870218791#gid=1870218791"", ""Rev vs Mktg &amp; Mktg Mix!I"" &amp; ROW(K38))
"),63.069)</f>
        <v>63.069</v>
      </c>
      <c r="J100" s="54">
        <f>IFERROR(__xludf.DUMMYFUNCTION("IMPORTRANGE(""https://docs.google.com/spreadsheets/d/1bozxp9FwhaCNzy-RRGPVPfVYTttO4PUGDdaFvbz-Ue0/edit?gid=1870218791#gid=1870218791"", ""Rev vs Mktg &amp; Mktg Mix!J"" &amp; ROW(J38))
"),32.833)</f>
        <v>32.833</v>
      </c>
      <c r="K100" s="46">
        <f>VLOOKUP(VALUE(LEFT(A103, 4)), 'Raw Annual Revenue'!A:K, 11, FALSE) / 4</f>
        <v>12553.25</v>
      </c>
      <c r="L100" s="54">
        <f>IFERROR(__xludf.DUMMYFUNCTION("IMPORTRANGE(""https://docs.google.com/spreadsheets/d/1bozxp9FwhaCNzy-RRGPVPfVYTttO4PUGDdaFvbz-Ue0/edit?gid=1870218791#gid=1870218791"", ""Rev vs Mktg &amp; Mktg Mix!L"" &amp; ROW(N38))
"),46.5334151499)</f>
        <v>46.53341515</v>
      </c>
      <c r="M100" s="57">
        <f>IFERROR(__xludf.DUMMYFUNCTION("IMPORTRANGE(""https://docs.google.com/spreadsheets/d/1bozxp9FwhaCNzy-RRGPVPfVYTttO4PUGDdaFvbz-Ue0/edit?gid=1870218791#gid=1870218791"", ""Rev vs Mktg &amp; Mktg Mix!M"" &amp; ROW(M38))
"),23.74951551649234)</f>
        <v>23.74951552</v>
      </c>
      <c r="N100" s="57">
        <f>IFERROR(__xludf.DUMMYFUNCTION("IMPORTRANGE(""https://docs.google.com/spreadsheets/d/1bozxp9FwhaCNzy-RRGPVPfVYTttO4PUGDdaFvbz-Ue0/edit?gid=1870218791#gid=1870218791"", ""Rev vs Mktg &amp; Mktg Mix!N"" &amp; ROW(N38))
"),2.132)</f>
        <v>2.132</v>
      </c>
      <c r="O100" s="57">
        <f>IFERROR(__xludf.DUMMYFUNCTION("IMPORTRANGE(""https://docs.google.com/spreadsheets/d/1bozxp9FwhaCNzy-RRGPVPfVYTttO4PUGDdaFvbz-Ue0/edit?gid=1870218791#gid=1870218791"", ""Rev vs Mktg &amp; Mktg Mix!O"" &amp; ROW(O38))
"),18.102500000000003)</f>
        <v>18.1025</v>
      </c>
      <c r="P100" s="57">
        <f>IFERROR(__xludf.DUMMYFUNCTION("IMPORTRANGE(""https://docs.google.com/spreadsheets/d/1bozxp9FwhaCNzy-RRGPVPfVYTttO4PUGDdaFvbz-Ue0/edit?gid=1870218791#gid=1870218791"", ""Rev vs Mktg &amp; Mktg Mix!P"" &amp; ROW(P38))
"),7.41)</f>
        <v>7.41</v>
      </c>
      <c r="Q100" s="57"/>
      <c r="R100" s="57"/>
      <c r="S100" s="54">
        <f>IFERROR(__xludf.DUMMYFUNCTION("IMPORTRANGE(""https://docs.google.com/spreadsheets/d/1bozxp9FwhaCNzy-RRGPVPfVYTttO4PUGDdaFvbz-Ue0/edit?gid=1870218791#gid=1870218791"", ""Rev vs Mktg &amp; Mktg Mix!s"" &amp; ROW(S38))
"),29.0664)</f>
        <v>29.0664</v>
      </c>
      <c r="T100" s="45">
        <f>VLOOKUP(VALUE(LEFT(A103, 4)), 'Raw Annual Revenue'!A:T, 19, FALSE) / 4</f>
        <v>82029.5</v>
      </c>
      <c r="U100" s="60">
        <f>IFERROR(__xludf.DUMMYFUNCTION("IMPORTRANGE(""https://docs.google.com/spreadsheets/d/1bozxp9FwhaCNzy-RRGPVPfVYTttO4PUGDdaFvbz-Ue0/edit?gid=1870218791#gid=1870218791"", ""Rev vs Mktg &amp; Mktg Mix!u"" &amp; ROW(U38))
"),4.129)</f>
        <v>4.129</v>
      </c>
      <c r="V100" s="43"/>
      <c r="W100" s="43"/>
      <c r="X100" s="45">
        <f>VLOOKUP(VALUE(LEFT($A102, 4)), 'Raw Annual Revenue'!$A:X, 23, FALSE) / 4
</f>
        <v>0</v>
      </c>
      <c r="Y100" s="46">
        <f>VLOOKUP(VALUE(LEFT(A100, 4)), 'Raw Annual Revenue'!A:Y, 24, FALSE) / 4</f>
        <v>118636.5</v>
      </c>
      <c r="Z100" s="46">
        <f>VLOOKUP(VALUE(LEFT($A100, 4)), 'Raw Annual Revenue'!$A:Z, 25, FALSE) / 4</f>
        <v>38294.2887</v>
      </c>
      <c r="AA100" s="46">
        <f>VLOOKUP(VALUE(LEFT($A100, 4)), 'Raw Annual Revenue'!$A:AA, 26, FALSE) / 4</f>
        <v>12928.5</v>
      </c>
      <c r="AB100" s="46">
        <f>VLOOKUP(VALUE(LEFT($A100, 4)), 'Raw Annual Revenue'!$A:AB, 27, FALSE) / 4</f>
        <v>194090.5</v>
      </c>
      <c r="AC100" s="46">
        <f>VLOOKUP(VALUE(LEFT($A100, 4)), 'Raw Annual Revenue'!$A:AC, 28, FALSE) / 4</f>
        <v>3825.75</v>
      </c>
    </row>
    <row r="101">
      <c r="A101" s="42" t="s">
        <v>128</v>
      </c>
      <c r="B101" s="58">
        <f>IFERROR(__xludf.DUMMYFUNCTION("IMPORTRANGE(""https://docs.google.com/spreadsheets/d/1bozxp9FwhaCNzy-RRGPVPfVYTttO4PUGDdaFvbz-Ue0/edit?gid=1870218791#gid=1870218791"", ""Rev vs Mktg &amp; Mktg Mix!B"" &amp; ROW(A39))
"),2237.432)</f>
        <v>2237.432</v>
      </c>
      <c r="C101" s="54">
        <f>IFERROR(__xludf.DUMMYFUNCTION("IMPORTRANGE(""https://docs.google.com/spreadsheets/d/1bozxp9FwhaCNzy-RRGPVPfVYTttO4PUGDdaFvbz-Ue0/edit?gid=1870218791#gid=1870218791"", ""Rev vs Mktg &amp; Mktg Mix!C"" &amp; ROW(C39))
"),4676.0)</f>
        <v>4676</v>
      </c>
      <c r="D101" s="54">
        <f>IFERROR(__xludf.DUMMYFUNCTION("IMPORTRANGE(""https://docs.google.com/spreadsheets/d/1bozxp9FwhaCNzy-RRGPVPfVYTttO4PUGDdaFvbz-Ue0/edit?gid=1870218791#gid=1870218791"", ""Rev vs Mktg &amp; Mktg Mix!D"" &amp; ROW(D39))
"),2962.0)</f>
        <v>2962</v>
      </c>
      <c r="E101" s="54">
        <f>IFERROR(__xludf.DUMMYFUNCTION("IMPORTRANGE(""https://docs.google.com/spreadsheets/d/1bozxp9FwhaCNzy-RRGPVPfVYTttO4PUGDdaFvbz-Ue0/edit?gid=1870218791#gid=1870218791"", ""Rev vs Mktg &amp; Mktg Mix!E"" &amp; ROW(E39))
"),831.0)</f>
        <v>831</v>
      </c>
      <c r="F101" s="54">
        <f>IFERROR(__xludf.DUMMYFUNCTION("IMPORTRANGE(""https://docs.google.com/spreadsheets/d/1bozxp9FwhaCNzy-RRGPVPfVYTttO4PUGDdaFvbz-Ue0/edit?gid=1870218791#gid=1870218791"", ""Rev vs Mktg &amp; Mktg Mix!F"" &amp; ROW(F39))
"),303.0)</f>
        <v>303</v>
      </c>
      <c r="G101" s="54">
        <f>IFERROR(__xludf.DUMMYFUNCTION("IMPORTRANGE(""https://docs.google.com/spreadsheets/d/1bozxp9FwhaCNzy-RRGPVPfVYTttO4PUGDdaFvbz-Ue0/edit?gid=1870218791#gid=1870218791"", ""Rev vs Mktg &amp; Mktg Mix!G"" &amp; ROW(I39))
"),138.6)</f>
        <v>138.6</v>
      </c>
      <c r="H101" s="58">
        <f>IFERROR(__xludf.DUMMYFUNCTION("IMPORTRANGE(""https://docs.google.com/spreadsheets/d/1bozxp9FwhaCNzy-RRGPVPfVYTttO4PUGDdaFvbz-Ue0/edit?gid=1870218791#gid=1870218791"", ""Rev vs Mktg &amp; Mktg Mix!H"" &amp; ROW(H39))
"),109.89000000000001)</f>
        <v>109.89</v>
      </c>
      <c r="I101" s="54">
        <f>IFERROR(__xludf.DUMMYFUNCTION("IMPORTRANGE(""https://docs.google.com/spreadsheets/d/1bozxp9FwhaCNzy-RRGPVPfVYTttO4PUGDdaFvbz-Ue0/edit?gid=1870218791#gid=1870218791"", ""Rev vs Mktg &amp; Mktg Mix!I"" &amp; ROW(K39))
"),83.368)</f>
        <v>83.368</v>
      </c>
      <c r="J101" s="54">
        <f>IFERROR(__xludf.DUMMYFUNCTION("IMPORTRANGE(""https://docs.google.com/spreadsheets/d/1bozxp9FwhaCNzy-RRGPVPfVYTttO4PUGDdaFvbz-Ue0/edit?gid=1870218791#gid=1870218791"", ""Rev vs Mktg &amp; Mktg Mix!J"" &amp; ROW(J39))
"),67.479)</f>
        <v>67.479</v>
      </c>
      <c r="K101" s="46">
        <f>VLOOKUP(VALUE(LEFT(A104, 4)), 'Raw Annual Revenue'!A:K, 11, FALSE) / 4</f>
        <v>12553.25</v>
      </c>
      <c r="L101" s="54">
        <f>IFERROR(__xludf.DUMMYFUNCTION("IMPORTRANGE(""https://docs.google.com/spreadsheets/d/1bozxp9FwhaCNzy-RRGPVPfVYTttO4PUGDdaFvbz-Ue0/edit?gid=1870218791#gid=1870218791"", ""Rev vs Mktg &amp; Mktg Mix!L"" &amp; ROW(N39))
"),49.627524531899994)</f>
        <v>49.62752453</v>
      </c>
      <c r="M101" s="57">
        <f>IFERROR(__xludf.DUMMYFUNCTION("IMPORTRANGE(""https://docs.google.com/spreadsheets/d/1bozxp9FwhaCNzy-RRGPVPfVYTttO4PUGDdaFvbz-Ue0/edit?gid=1870218791#gid=1870218791"", ""Rev vs Mktg &amp; Mktg Mix!M"" &amp; ROW(M39))
"),17.754492182232138)</f>
        <v>17.75449218</v>
      </c>
      <c r="N101" s="57">
        <f>IFERROR(__xludf.DUMMYFUNCTION("IMPORTRANGE(""https://docs.google.com/spreadsheets/d/1bozxp9FwhaCNzy-RRGPVPfVYTttO4PUGDdaFvbz-Ue0/edit?gid=1870218791#gid=1870218791"", ""Rev vs Mktg &amp; Mktg Mix!N"" &amp; ROW(N39))
"),3.014)</f>
        <v>3.014</v>
      </c>
      <c r="O101" s="57">
        <f>IFERROR(__xludf.DUMMYFUNCTION("IMPORTRANGE(""https://docs.google.com/spreadsheets/d/1bozxp9FwhaCNzy-RRGPVPfVYTttO4PUGDdaFvbz-Ue0/edit?gid=1870218791#gid=1870218791"", ""Rev vs Mktg &amp; Mktg Mix!O"" &amp; ROW(O39))
"),18.102500000000003)</f>
        <v>18.1025</v>
      </c>
      <c r="P101" s="57">
        <f>IFERROR(__xludf.DUMMYFUNCTION("IMPORTRANGE(""https://docs.google.com/spreadsheets/d/1bozxp9FwhaCNzy-RRGPVPfVYTttO4PUGDdaFvbz-Ue0/edit?gid=1870218791#gid=1870218791"", ""Rev vs Mktg &amp; Mktg Mix!P"" &amp; ROW(P39))
"),7.41)</f>
        <v>7.41</v>
      </c>
      <c r="Q101" s="57"/>
      <c r="R101" s="57"/>
      <c r="S101" s="54">
        <f>IFERROR(__xludf.DUMMYFUNCTION("IMPORTRANGE(""https://docs.google.com/spreadsheets/d/1bozxp9FwhaCNzy-RRGPVPfVYTttO4PUGDdaFvbz-Ue0/edit?gid=1870218791#gid=1870218791"", ""Rev vs Mktg &amp; Mktg Mix!s"" &amp; ROW(S39))
"),49.367450000000005)</f>
        <v>49.36745</v>
      </c>
      <c r="T101" s="45">
        <f>VLOOKUP(VALUE(LEFT(A104, 4)), 'Raw Annual Revenue'!A:T, 19, FALSE) / 4</f>
        <v>82029.5</v>
      </c>
      <c r="U101" s="60">
        <f>IFERROR(__xludf.DUMMYFUNCTION("IMPORTRANGE(""https://docs.google.com/spreadsheets/d/1bozxp9FwhaCNzy-RRGPVPfVYTttO4PUGDdaFvbz-Ue0/edit?gid=1870218791#gid=1870218791"", ""Rev vs Mktg &amp; Mktg Mix!u"" &amp; ROW(U39))
"),6.074)</f>
        <v>6.074</v>
      </c>
      <c r="V101" s="43"/>
      <c r="W101" s="43"/>
      <c r="X101" s="45">
        <f>VLOOKUP(VALUE(LEFT($A103, 4)), 'Raw Annual Revenue'!$A:X, 23, FALSE) / 4
</f>
        <v>0</v>
      </c>
      <c r="Y101" s="46">
        <f>VLOOKUP(VALUE(LEFT(A101, 4)), 'Raw Annual Revenue'!A:Y, 24, FALSE) / 4</f>
        <v>118636.5</v>
      </c>
      <c r="Z101" s="46">
        <f>VLOOKUP(VALUE(LEFT($A101, 4)), 'Raw Annual Revenue'!$A:Z, 25, FALSE) / 4</f>
        <v>38294.2887</v>
      </c>
      <c r="AA101" s="46">
        <f>VLOOKUP(VALUE(LEFT($A101, 4)), 'Raw Annual Revenue'!$A:AA, 26, FALSE) / 4</f>
        <v>12928.5</v>
      </c>
      <c r="AB101" s="46">
        <f>VLOOKUP(VALUE(LEFT($A101, 4)), 'Raw Annual Revenue'!$A:AB, 27, FALSE) / 4</f>
        <v>194090.5</v>
      </c>
      <c r="AC101" s="46">
        <f>VLOOKUP(VALUE(LEFT($A101, 4)), 'Raw Annual Revenue'!$A:AC, 28, FALSE) / 4</f>
        <v>3825.75</v>
      </c>
    </row>
    <row r="102">
      <c r="A102" s="42" t="s">
        <v>129</v>
      </c>
      <c r="B102" s="58">
        <f>IFERROR(__xludf.DUMMYFUNCTION("IMPORTRANGE(""https://docs.google.com/spreadsheets/d/1bozxp9FwhaCNzy-RRGPVPfVYTttO4PUGDdaFvbz-Ue0/edit?gid=1870218791#gid=1870218791"", ""Rev vs Mktg &amp; Mktg Mix!B"" &amp; ROW(A40))
"),1532.196)</f>
        <v>1532.196</v>
      </c>
      <c r="C102" s="54">
        <f>IFERROR(__xludf.DUMMYFUNCTION("IMPORTRANGE(""https://docs.google.com/spreadsheets/d/1bozxp9FwhaCNzy-RRGPVPfVYTttO4PUGDdaFvbz-Ue0/edit?gid=1870218791#gid=1870218791"", ""Rev vs Mktg &amp; Mktg Mix!C"" &amp; ROW(C40))
"),2981.0)</f>
        <v>2981</v>
      </c>
      <c r="D102" s="54">
        <f>IFERROR(__xludf.DUMMYFUNCTION("IMPORTRANGE(""https://docs.google.com/spreadsheets/d/1bozxp9FwhaCNzy-RRGPVPfVYTttO4PUGDdaFvbz-Ue0/edit?gid=1870218791#gid=1870218791"", ""Rev vs Mktg &amp; Mktg Mix!D"" &amp; ROW(D40))
"),2279.0)</f>
        <v>2279</v>
      </c>
      <c r="E102" s="54">
        <f>IFERROR(__xludf.DUMMYFUNCTION("IMPORTRANGE(""https://docs.google.com/spreadsheets/d/1bozxp9FwhaCNzy-RRGPVPfVYTttO4PUGDdaFvbz-Ue0/edit?gid=1870218791#gid=1870218791"", ""Rev vs Mktg &amp; Mktg Mix!E"" &amp; ROW(E40))
"),735.0)</f>
        <v>735</v>
      </c>
      <c r="F102" s="54">
        <f>IFERROR(__xludf.DUMMYFUNCTION("IMPORTRANGE(""https://docs.google.com/spreadsheets/d/1bozxp9FwhaCNzy-RRGPVPfVYTttO4PUGDdaFvbz-Ue0/edit?gid=1870218791#gid=1870218791"", ""Rev vs Mktg &amp; Mktg Mix!F"" &amp; ROW(F40))
"),241.0)</f>
        <v>241</v>
      </c>
      <c r="G102" s="54">
        <f>IFERROR(__xludf.DUMMYFUNCTION("IMPORTRANGE(""https://docs.google.com/spreadsheets/d/1bozxp9FwhaCNzy-RRGPVPfVYTttO4PUGDdaFvbz-Ue0/edit?gid=1870218791#gid=1870218791"", ""Rev vs Mktg &amp; Mktg Mix!G"" &amp; ROW(I40))
"),89.126)</f>
        <v>89.126</v>
      </c>
      <c r="H102" s="58">
        <f>IFERROR(__xludf.DUMMYFUNCTION("IMPORTRANGE(""https://docs.google.com/spreadsheets/d/1bozxp9FwhaCNzy-RRGPVPfVYTttO4PUGDdaFvbz-Ue0/edit?gid=1870218791#gid=1870218791"", ""Rev vs Mktg &amp; Mktg Mix!H"" &amp; ROW(H40))
"),104.94000000000001)</f>
        <v>104.94</v>
      </c>
      <c r="I102" s="54">
        <f>IFERROR(__xludf.DUMMYFUNCTION("IMPORTRANGE(""https://docs.google.com/spreadsheets/d/1bozxp9FwhaCNzy-RRGPVPfVYTttO4PUGDdaFvbz-Ue0/edit?gid=1870218791#gid=1870218791"", ""Rev vs Mktg &amp; Mktg Mix!I"" &amp; ROW(K40))
"),124.556)</f>
        <v>124.556</v>
      </c>
      <c r="J102" s="54">
        <f>IFERROR(__xludf.DUMMYFUNCTION("IMPORTRANGE(""https://docs.google.com/spreadsheets/d/1bozxp9FwhaCNzy-RRGPVPfVYTttO4PUGDdaFvbz-Ue0/edit?gid=1870218791#gid=1870218791"", ""Rev vs Mktg &amp; Mktg Mix!J"" &amp; ROW(J40))
"),115.023)</f>
        <v>115.023</v>
      </c>
      <c r="K102" s="46">
        <f>VLOOKUP(VALUE(LEFT(A105, 4)), 'Raw Annual Revenue'!A:K, 11, FALSE) / 4</f>
        <v>12553.25</v>
      </c>
      <c r="L102" s="54">
        <f>IFERROR(__xludf.DUMMYFUNCTION("IMPORTRANGE(""https://docs.google.com/spreadsheets/d/1bozxp9FwhaCNzy-RRGPVPfVYTttO4PUGDdaFvbz-Ue0/edit?gid=1870218791#gid=1870218791"", ""Rev vs Mktg &amp; Mktg Mix!L"" &amp; ROW(N40))
"),50.0815124733)</f>
        <v>50.08151247</v>
      </c>
      <c r="M102" s="57">
        <f>IFERROR(__xludf.DUMMYFUNCTION("IMPORTRANGE(""https://docs.google.com/spreadsheets/d/1bozxp9FwhaCNzy-RRGPVPfVYTttO4PUGDdaFvbz-Ue0/edit?gid=1870218791#gid=1870218791"", ""Rev vs Mktg &amp; Mktg Mix!M"" &amp; ROW(M40))
"),38.73707385214285)</f>
        <v>38.73707385</v>
      </c>
      <c r="N102" s="57">
        <f>IFERROR(__xludf.DUMMYFUNCTION("IMPORTRANGE(""https://docs.google.com/spreadsheets/d/1bozxp9FwhaCNzy-RRGPVPfVYTttO4PUGDdaFvbz-Ue0/edit?gid=1870218791#gid=1870218791"", ""Rev vs Mktg &amp; Mktg Mix!N"" &amp; ROW(N40))
"),3.837)</f>
        <v>3.837</v>
      </c>
      <c r="O102" s="57">
        <f>IFERROR(__xludf.DUMMYFUNCTION("IMPORTRANGE(""https://docs.google.com/spreadsheets/d/1bozxp9FwhaCNzy-RRGPVPfVYTttO4PUGDdaFvbz-Ue0/edit?gid=1870218791#gid=1870218791"", ""Rev vs Mktg &amp; Mktg Mix!O"" &amp; ROW(O40))
"),26.974999999999998)</f>
        <v>26.975</v>
      </c>
      <c r="P102" s="57">
        <f>IFERROR(__xludf.DUMMYFUNCTION("IMPORTRANGE(""https://docs.google.com/spreadsheets/d/1bozxp9FwhaCNzy-RRGPVPfVYTttO4PUGDdaFvbz-Ue0/edit?gid=1870218791#gid=1870218791"", ""Rev vs Mktg &amp; Mktg Mix!P"" &amp; ROW(P40))
"),6.2075)</f>
        <v>6.2075</v>
      </c>
      <c r="Q102" s="57"/>
      <c r="R102" s="57"/>
      <c r="S102" s="54">
        <f>IFERROR(__xludf.DUMMYFUNCTION("IMPORTRANGE(""https://docs.google.com/spreadsheets/d/1bozxp9FwhaCNzy-RRGPVPfVYTttO4PUGDdaFvbz-Ue0/edit?gid=1870218791#gid=1870218791"", ""Rev vs Mktg &amp; Mktg Mix!s"" &amp; ROW(S40))
"),49.367450000000005)</f>
        <v>49.36745</v>
      </c>
      <c r="T102" s="45">
        <f>VLOOKUP(VALUE(LEFT(A105, 4)), 'Raw Annual Revenue'!A:T, 19, FALSE) / 4</f>
        <v>82029.5</v>
      </c>
      <c r="U102" s="60">
        <f>IFERROR(__xludf.DUMMYFUNCTION("IMPORTRANGE(""https://docs.google.com/spreadsheets/d/1bozxp9FwhaCNzy-RRGPVPfVYTttO4PUGDdaFvbz-Ue0/edit?gid=1870218791#gid=1870218791"", ""Rev vs Mktg &amp; Mktg Mix!u"" &amp; ROW(U40))
"),8.429)</f>
        <v>8.429</v>
      </c>
      <c r="V102" s="43"/>
      <c r="W102" s="43"/>
      <c r="X102" s="45">
        <f>VLOOKUP(VALUE(LEFT($A104, 4)), 'Raw Annual Revenue'!$A:X, 23, FALSE) / 4
</f>
        <v>0</v>
      </c>
      <c r="Y102" s="46">
        <f>VLOOKUP(VALUE(LEFT(A102, 4)), 'Raw Annual Revenue'!A:Y, 24, FALSE) / 4</f>
        <v>118636.5</v>
      </c>
      <c r="Z102" s="46">
        <f>VLOOKUP(VALUE(LEFT($A102, 4)), 'Raw Annual Revenue'!$A:Z, 25, FALSE) / 4</f>
        <v>38294.2887</v>
      </c>
      <c r="AA102" s="46">
        <f>VLOOKUP(VALUE(LEFT($A102, 4)), 'Raw Annual Revenue'!$A:AA, 26, FALSE) / 4</f>
        <v>12928.5</v>
      </c>
      <c r="AB102" s="46">
        <f>VLOOKUP(VALUE(LEFT($A102, 4)), 'Raw Annual Revenue'!$A:AB, 27, FALSE) / 4</f>
        <v>194090.5</v>
      </c>
      <c r="AC102" s="46">
        <f>VLOOKUP(VALUE(LEFT($A102, 4)), 'Raw Annual Revenue'!$A:AC, 28, FALSE) / 4</f>
        <v>3825.75</v>
      </c>
    </row>
    <row r="103">
      <c r="A103" s="42" t="s">
        <v>130</v>
      </c>
      <c r="B103" s="58">
        <f>IFERROR(__xludf.DUMMYFUNCTION("IMPORTRANGE(""https://docs.google.com/spreadsheets/d/1bozxp9FwhaCNzy-RRGPVPfVYTttO4PUGDdaFvbz-Ue0/edit?gid=1870218791#gid=1870218791"", ""Rev vs Mktg &amp; Mktg Mix!B"" &amp; ROW(A41))
"),1508.937)</f>
        <v>1508.937</v>
      </c>
      <c r="C103" s="54">
        <f>IFERROR(__xludf.DUMMYFUNCTION("IMPORTRANGE(""https://docs.google.com/spreadsheets/d/1bozxp9FwhaCNzy-RRGPVPfVYTttO4PUGDdaFvbz-Ue0/edit?gid=1870218791#gid=1870218791"", ""Rev vs Mktg &amp; Mktg Mix!C"" &amp; ROW(C41))
"),2695.0)</f>
        <v>2695</v>
      </c>
      <c r="D103" s="54">
        <f>IFERROR(__xludf.DUMMYFUNCTION("IMPORTRANGE(""https://docs.google.com/spreadsheets/d/1bozxp9FwhaCNzy-RRGPVPfVYTttO4PUGDdaFvbz-Ue0/edit?gid=1870218791#gid=1870218791"", ""Rev vs Mktg &amp; Mktg Mix!D"" &amp; ROW(D41))
"),2249.0)</f>
        <v>2249</v>
      </c>
      <c r="E103" s="54">
        <f>IFERROR(__xludf.DUMMYFUNCTION("IMPORTRANGE(""https://docs.google.com/spreadsheets/d/1bozxp9FwhaCNzy-RRGPVPfVYTttO4PUGDdaFvbz-Ue0/edit?gid=1870218791#gid=1870218791"", ""Rev vs Mktg &amp; Mktg Mix!E"" &amp; ROW(E41))
"),649.0)</f>
        <v>649</v>
      </c>
      <c r="F103" s="54">
        <f>IFERROR(__xludf.DUMMYFUNCTION("IMPORTRANGE(""https://docs.google.com/spreadsheets/d/1bozxp9FwhaCNzy-RRGPVPfVYTttO4PUGDdaFvbz-Ue0/edit?gid=1870218791#gid=1870218791"", ""Rev vs Mktg &amp; Mktg Mix!F"" &amp; ROW(F41))
"),262.0)</f>
        <v>262</v>
      </c>
      <c r="G103" s="54">
        <f>IFERROR(__xludf.DUMMYFUNCTION("IMPORTRANGE(""https://docs.google.com/spreadsheets/d/1bozxp9FwhaCNzy-RRGPVPfVYTttO4PUGDdaFvbz-Ue0/edit?gid=1870218791#gid=1870218791"", ""Rev vs Mktg &amp; Mktg Mix!G"" &amp; ROW(I41))
"),101.638)</f>
        <v>101.638</v>
      </c>
      <c r="H103" s="58">
        <f>IFERROR(__xludf.DUMMYFUNCTION("IMPORTRANGE(""https://docs.google.com/spreadsheets/d/1bozxp9FwhaCNzy-RRGPVPfVYTttO4PUGDdaFvbz-Ue0/edit?gid=1870218791#gid=1870218791"", ""Rev vs Mktg &amp; Mktg Mix!H"" &amp; ROW(H41))
"),130.79000000000002)</f>
        <v>130.79</v>
      </c>
      <c r="I103" s="54">
        <f>IFERROR(__xludf.DUMMYFUNCTION("IMPORTRANGE(""https://docs.google.com/spreadsheets/d/1bozxp9FwhaCNzy-RRGPVPfVYTttO4PUGDdaFvbz-Ue0/edit?gid=1870218791#gid=1870218791"", ""Rev vs Mktg &amp; Mktg Mix!I"" &amp; ROW(K41))
"),112.414)</f>
        <v>112.414</v>
      </c>
      <c r="J103" s="54">
        <f>IFERROR(__xludf.DUMMYFUNCTION("IMPORTRANGE(""https://docs.google.com/spreadsheets/d/1bozxp9FwhaCNzy-RRGPVPfVYTttO4PUGDdaFvbz-Ue0/edit?gid=1870218791#gid=1870218791"", ""Rev vs Mktg &amp; Mktg Mix!J"" &amp; ROW(J41))
"),88.587)</f>
        <v>88.587</v>
      </c>
      <c r="K103" s="46">
        <f>VLOOKUP(VALUE(LEFT(A106, 4)), 'Raw Annual Revenue'!A:K, 11, FALSE) / 4</f>
        <v>12553.25</v>
      </c>
      <c r="L103" s="54">
        <f>IFERROR(__xludf.DUMMYFUNCTION("IMPORTRANGE(""https://docs.google.com/spreadsheets/d/1bozxp9FwhaCNzy-RRGPVPfVYTttO4PUGDdaFvbz-Ue0/edit?gid=1870218791#gid=1870218791"", ""Rev vs Mktg &amp; Mktg Mix!L"" &amp; ROW(N41))
"),42.05933676)</f>
        <v>42.05933676</v>
      </c>
      <c r="M103" s="57">
        <f>IFERROR(__xludf.DUMMYFUNCTION("IMPORTRANGE(""https://docs.google.com/spreadsheets/d/1bozxp9FwhaCNzy-RRGPVPfVYTttO4PUGDdaFvbz-Ue0/edit?gid=1870218791#gid=1870218791"", ""Rev vs Mktg &amp; Mktg Mix!M"" &amp; ROW(M41))
"),35.4711)</f>
        <v>35.4711</v>
      </c>
      <c r="N103" s="57">
        <f>IFERROR(__xludf.DUMMYFUNCTION("IMPORTRANGE(""https://docs.google.com/spreadsheets/d/1bozxp9FwhaCNzy-RRGPVPfVYTttO4PUGDdaFvbz-Ue0/edit?gid=1870218791#gid=1870218791"", ""Rev vs Mktg &amp; Mktg Mix!N"" &amp; ROW(N41))
"),4.076)</f>
        <v>4.076</v>
      </c>
      <c r="O103" s="57">
        <f>IFERROR(__xludf.DUMMYFUNCTION("IMPORTRANGE(""https://docs.google.com/spreadsheets/d/1bozxp9FwhaCNzy-RRGPVPfVYTttO4PUGDdaFvbz-Ue0/edit?gid=1870218791#gid=1870218791"", ""Rev vs Mktg &amp; Mktg Mix!O"" &amp; ROW(O41))
"),26.974999999999998)</f>
        <v>26.975</v>
      </c>
      <c r="P103" s="57">
        <f>IFERROR(__xludf.DUMMYFUNCTION("IMPORTRANGE(""https://docs.google.com/spreadsheets/d/1bozxp9FwhaCNzy-RRGPVPfVYTttO4PUGDdaFvbz-Ue0/edit?gid=1870218791#gid=1870218791"", ""Rev vs Mktg &amp; Mktg Mix!P"" &amp; ROW(P41))
"),6.2075)</f>
        <v>6.2075</v>
      </c>
      <c r="Q103" s="57"/>
      <c r="R103" s="57"/>
      <c r="S103" s="54">
        <f>IFERROR(__xludf.DUMMYFUNCTION("IMPORTRANGE(""https://docs.google.com/spreadsheets/d/1bozxp9FwhaCNzy-RRGPVPfVYTttO4PUGDdaFvbz-Ue0/edit?gid=1870218791#gid=1870218791"", ""Rev vs Mktg &amp; Mktg Mix!s"" &amp; ROW(S41))
"),85.42325)</f>
        <v>85.42325</v>
      </c>
      <c r="T103" s="45">
        <f>VLOOKUP(VALUE(LEFT(A106, 4)), 'Raw Annual Revenue'!A:T, 19, FALSE) / 4</f>
        <v>82029.5</v>
      </c>
      <c r="U103" s="60">
        <f>IFERROR(__xludf.DUMMYFUNCTION("IMPORTRANGE(""https://docs.google.com/spreadsheets/d/1bozxp9FwhaCNzy-RRGPVPfVYTttO4PUGDdaFvbz-Ue0/edit?gid=1870218791#gid=1870218791"", ""Rev vs Mktg &amp; Mktg Mix!u"" &amp; ROW(U41))
"),7.973)</f>
        <v>7.973</v>
      </c>
      <c r="V103" s="43"/>
      <c r="W103" s="43"/>
      <c r="X103" s="45">
        <f>VLOOKUP(VALUE(LEFT($A105, 4)), 'Raw Annual Revenue'!$A:X, 23, FALSE) / 4
</f>
        <v>0</v>
      </c>
      <c r="Y103" s="46">
        <f>VLOOKUP(VALUE(LEFT(A103, 4)), 'Raw Annual Revenue'!A:Y, 24, FALSE) / 4</f>
        <v>180008.5</v>
      </c>
      <c r="Z103" s="46">
        <f>VLOOKUP(VALUE(LEFT($A103, 4)), 'Raw Annual Revenue'!$A:Z, 25, FALSE) / 4</f>
        <v>85651.1215</v>
      </c>
      <c r="AA103" s="46">
        <f>VLOOKUP(VALUE(LEFT($A103, 4)), 'Raw Annual Revenue'!$A:AA, 26, FALSE) / 4</f>
        <v>28811.75</v>
      </c>
      <c r="AB103" s="46">
        <f>VLOOKUP(VALUE(LEFT($A103, 4)), 'Raw Annual Revenue'!$A:AB, 27, FALSE) / 4</f>
        <v>66020.25</v>
      </c>
      <c r="AC103" s="46">
        <f>VLOOKUP(VALUE(LEFT($A103, 4)), 'Raw Annual Revenue'!$A:AC, 28, FALSE) / 4</f>
        <v>2910</v>
      </c>
    </row>
    <row r="104">
      <c r="A104" s="42" t="s">
        <v>131</v>
      </c>
      <c r="B104" s="58">
        <f>IFERROR(__xludf.DUMMYFUNCTION("IMPORTRANGE(""https://docs.google.com/spreadsheets/d/1bozxp9FwhaCNzy-RRGPVPfVYTttO4PUGDdaFvbz-Ue0/edit?gid=1870218791#gid=1870218791"", ""Rev vs Mktg &amp; Mktg Mix!B"" &amp; ROW(A42))
"),2104.107)</f>
        <v>2104.107</v>
      </c>
      <c r="C104" s="54">
        <f>IFERROR(__xludf.DUMMYFUNCTION("IMPORTRANGE(""https://docs.google.com/spreadsheets/d/1bozxp9FwhaCNzy-RRGPVPfVYTttO4PUGDdaFvbz-Ue0/edit?gid=1870218791#gid=1870218791"", ""Rev vs Mktg &amp; Mktg Mix!C"" &amp; ROW(C42))
"),4294.0)</f>
        <v>4294</v>
      </c>
      <c r="D104" s="54">
        <f>IFERROR(__xludf.DUMMYFUNCTION("IMPORTRANGE(""https://docs.google.com/spreadsheets/d/1bozxp9FwhaCNzy-RRGPVPfVYTttO4PUGDdaFvbz-Ue0/edit?gid=1870218791#gid=1870218791"", ""Rev vs Mktg &amp; Mktg Mix!D"" &amp; ROW(D42))
"),3181.0)</f>
        <v>3181</v>
      </c>
      <c r="E104" s="54">
        <f>IFERROR(__xludf.DUMMYFUNCTION("IMPORTRANGE(""https://docs.google.com/spreadsheets/d/1bozxp9FwhaCNzy-RRGPVPfVYTttO4PUGDdaFvbz-Ue0/edit?gid=1870218791#gid=1870218791"", ""Rev vs Mktg &amp; Mktg Mix!E"" &amp; ROW(E42))
"),599.0)</f>
        <v>599</v>
      </c>
      <c r="F104" s="54">
        <f>IFERROR(__xludf.DUMMYFUNCTION("IMPORTRANGE(""https://docs.google.com/spreadsheets/d/1bozxp9FwhaCNzy-RRGPVPfVYTttO4PUGDdaFvbz-Ue0/edit?gid=1870218791#gid=1870218791"", ""Rev vs Mktg &amp; Mktg Mix!F"" &amp; ROW(F42))
"),417.0)</f>
        <v>417</v>
      </c>
      <c r="G104" s="54">
        <f>IFERROR(__xludf.DUMMYFUNCTION("IMPORTRANGE(""https://docs.google.com/spreadsheets/d/1bozxp9FwhaCNzy-RRGPVPfVYTttO4PUGDdaFvbz-Ue0/edit?gid=1870218791#gid=1870218791"", ""Rev vs Mktg &amp; Mktg Mix!G"" &amp; ROW(I42))
"),144.769)</f>
        <v>144.769</v>
      </c>
      <c r="H104" s="58">
        <f>IFERROR(__xludf.DUMMYFUNCTION("IMPORTRANGE(""https://docs.google.com/spreadsheets/d/1bozxp9FwhaCNzy-RRGPVPfVYTttO4PUGDdaFvbz-Ue0/edit?gid=1870218791#gid=1870218791"", ""Rev vs Mktg &amp; Mktg Mix!H"" &amp; ROW(H42))
"),160.27)</f>
        <v>160.27</v>
      </c>
      <c r="I104" s="54">
        <f>IFERROR(__xludf.DUMMYFUNCTION("IMPORTRANGE(""https://docs.google.com/spreadsheets/d/1bozxp9FwhaCNzy-RRGPVPfVYTttO4PUGDdaFvbz-Ue0/edit?gid=1870218791#gid=1870218791"", ""Rev vs Mktg &amp; Mktg Mix!I"" &amp; ROW(K42))
"),134.421)</f>
        <v>134.421</v>
      </c>
      <c r="J104" s="54">
        <f>IFERROR(__xludf.DUMMYFUNCTION("IMPORTRANGE(""https://docs.google.com/spreadsheets/d/1bozxp9FwhaCNzy-RRGPVPfVYTttO4PUGDdaFvbz-Ue0/edit?gid=1870218791#gid=1870218791"", ""Rev vs Mktg &amp; Mktg Mix!J"" &amp; ROW(J42))
"),142.733)</f>
        <v>142.733</v>
      </c>
      <c r="K104" s="46">
        <f>VLOOKUP(VALUE(LEFT(A107, 4)), 'Raw Annual Revenue'!A:K, 11, FALSE) / 4</f>
        <v>15251.75</v>
      </c>
      <c r="L104" s="54">
        <f>IFERROR(__xludf.DUMMYFUNCTION("IMPORTRANGE(""https://docs.google.com/spreadsheets/d/1bozxp9FwhaCNzy-RRGPVPfVYTttO4PUGDdaFvbz-Ue0/edit?gid=1870218791#gid=1870218791"", ""Rev vs Mktg &amp; Mktg Mix!L"" &amp; ROW(N42))
"),59.3056621479)</f>
        <v>59.30566215</v>
      </c>
      <c r="M104" s="57">
        <f>IFERROR(__xludf.DUMMYFUNCTION("IMPORTRANGE(""https://docs.google.com/spreadsheets/d/1bozxp9FwhaCNzy-RRGPVPfVYTttO4PUGDdaFvbz-Ue0/edit?gid=1870218791#gid=1870218791"", ""Rev vs Mktg &amp; Mktg Mix!M"" &amp; ROW(M42))
"),32.004)</f>
        <v>32.004</v>
      </c>
      <c r="N104" s="57">
        <f>IFERROR(__xludf.DUMMYFUNCTION("IMPORTRANGE(""https://docs.google.com/spreadsheets/d/1bozxp9FwhaCNzy-RRGPVPfVYTttO4PUGDdaFvbz-Ue0/edit?gid=1870218791#gid=1870218791"", ""Rev vs Mktg &amp; Mktg Mix!N"" &amp; ROW(N42))
"),5.556)</f>
        <v>5.556</v>
      </c>
      <c r="O104" s="57">
        <f>IFERROR(__xludf.DUMMYFUNCTION("IMPORTRANGE(""https://docs.google.com/spreadsheets/d/1bozxp9FwhaCNzy-RRGPVPfVYTttO4PUGDdaFvbz-Ue0/edit?gid=1870218791#gid=1870218791"", ""Rev vs Mktg &amp; Mktg Mix!O"" &amp; ROW(O42))
"),57.135000000000005)</f>
        <v>57.135</v>
      </c>
      <c r="P104" s="57">
        <f>IFERROR(__xludf.DUMMYFUNCTION("IMPORTRANGE(""https://docs.google.com/spreadsheets/d/1bozxp9FwhaCNzy-RRGPVPfVYTttO4PUGDdaFvbz-Ue0/edit?gid=1870218791#gid=1870218791"", ""Rev vs Mktg &amp; Mktg Mix!P"" &amp; ROW(P42))
"),16.835)</f>
        <v>16.835</v>
      </c>
      <c r="Q104" s="57"/>
      <c r="R104" s="57"/>
      <c r="S104" s="54">
        <f>IFERROR(__xludf.DUMMYFUNCTION("IMPORTRANGE(""https://docs.google.com/spreadsheets/d/1bozxp9FwhaCNzy-RRGPVPfVYTttO4PUGDdaFvbz-Ue0/edit?gid=1870218791#gid=1870218791"", ""Rev vs Mktg &amp; Mktg Mix!s"" &amp; ROW(S42))
"),85.42325)</f>
        <v>85.42325</v>
      </c>
      <c r="T104" s="59">
        <f>IFERROR(__xludf.DUMMYFUNCTION("IMPORTRANGE(""https://docs.google.com/spreadsheets/d/1bozxp9FwhaCNzy-RRGPVPfVYTttO4PUGDdaFvbz-Ue0/edit?gid=1870218791#gid=1870218791"", ""Rev vs Mktg &amp; Mktg Mix!T"" &amp; ROW(Y42))
"),10.319882352941177)</f>
        <v>10.31988235</v>
      </c>
      <c r="U104" s="60">
        <f>IFERROR(__xludf.DUMMYFUNCTION("IMPORTRANGE(""https://docs.google.com/spreadsheets/d/1bozxp9FwhaCNzy-RRGPVPfVYTttO4PUGDdaFvbz-Ue0/edit?gid=1870218791#gid=1870218791"", ""Rev vs Mktg &amp; Mktg Mix!u"" &amp; ROW(U42))
"),11.377)</f>
        <v>11.377</v>
      </c>
      <c r="V104" s="43"/>
      <c r="W104" s="43"/>
      <c r="X104" s="45">
        <f>VLOOKUP(VALUE(LEFT($A106, 4)), 'Raw Annual Revenue'!$A:X, 23, FALSE) / 4
</f>
        <v>0</v>
      </c>
      <c r="Y104" s="46">
        <f>VLOOKUP(VALUE(LEFT(A104, 4)), 'Raw Annual Revenue'!A:Y, 24, FALSE) / 4</f>
        <v>180008.5</v>
      </c>
      <c r="Z104" s="46">
        <f>VLOOKUP(VALUE(LEFT($A104, 4)), 'Raw Annual Revenue'!$A:Z, 25, FALSE) / 4</f>
        <v>85651.1215</v>
      </c>
      <c r="AA104" s="46">
        <f>VLOOKUP(VALUE(LEFT($A104, 4)), 'Raw Annual Revenue'!$A:AA, 26, FALSE) / 4</f>
        <v>28811.75</v>
      </c>
      <c r="AB104" s="46">
        <f>VLOOKUP(VALUE(LEFT($A104, 4)), 'Raw Annual Revenue'!$A:AB, 27, FALSE) / 4</f>
        <v>66020.25</v>
      </c>
      <c r="AC104" s="46">
        <f>VLOOKUP(VALUE(LEFT($A104, 4)), 'Raw Annual Revenue'!$A:AC, 28, FALSE) / 4</f>
        <v>2910</v>
      </c>
    </row>
    <row r="105">
      <c r="A105" s="42" t="s">
        <v>132</v>
      </c>
      <c r="B105" s="58">
        <f>IFERROR(__xludf.DUMMYFUNCTION("IMPORTRANGE(""https://docs.google.com/spreadsheets/d/1bozxp9FwhaCNzy-RRGPVPfVYTttO4PUGDdaFvbz-Ue0/edit?gid=1870218791#gid=1870218791"", ""Rev vs Mktg &amp; Mktg Mix!B"" &amp; ROW(A43))
"),2884.41)</f>
        <v>2884.41</v>
      </c>
      <c r="C105" s="54">
        <f>IFERROR(__xludf.DUMMYFUNCTION("IMPORTRANGE(""https://docs.google.com/spreadsheets/d/1bozxp9FwhaCNzy-RRGPVPfVYTttO4PUGDdaFvbz-Ue0/edit?gid=1870218791#gid=1870218791"", ""Rev vs Mktg &amp; Mktg Mix!C"" &amp; ROW(C43))
"),6052.0)</f>
        <v>6052</v>
      </c>
      <c r="D105" s="54">
        <f>IFERROR(__xludf.DUMMYFUNCTION("IMPORTRANGE(""https://docs.google.com/spreadsheets/d/1bozxp9FwhaCNzy-RRGPVPfVYTttO4PUGDdaFvbz-Ue0/edit?gid=1870218791#gid=1870218791"", ""Rev vs Mktg &amp; Mktg Mix!D"" &amp; ROW(D43))
"),3619.0)</f>
        <v>3619</v>
      </c>
      <c r="E105" s="54">
        <f>IFERROR(__xludf.DUMMYFUNCTION("IMPORTRANGE(""https://docs.google.com/spreadsheets/d/1bozxp9FwhaCNzy-RRGPVPfVYTttO4PUGDdaFvbz-Ue0/edit?gid=1870218791#gid=1870218791"", ""Rev vs Mktg &amp; Mktg Mix!E"" &amp; ROW(E43))
"),969.0)</f>
        <v>969</v>
      </c>
      <c r="F105" s="54">
        <f>IFERROR(__xludf.DUMMYFUNCTION("IMPORTRANGE(""https://docs.google.com/spreadsheets/d/1bozxp9FwhaCNzy-RRGPVPfVYTttO4PUGDdaFvbz-Ue0/edit?gid=1870218791#gid=1870218791"", ""Rev vs Mktg &amp; Mktg Mix!F"" &amp; ROW(F43))
"),459.0)</f>
        <v>459</v>
      </c>
      <c r="G105" s="54">
        <f>IFERROR(__xludf.DUMMYFUNCTION("IMPORTRANGE(""https://docs.google.com/spreadsheets/d/1bozxp9FwhaCNzy-RRGPVPfVYTttO4PUGDdaFvbz-Ue0/edit?gid=1870218791#gid=1870218791"", ""Rev vs Mktg &amp; Mktg Mix!G"" &amp; ROW(I43))
"),183.7)</f>
        <v>183.7</v>
      </c>
      <c r="H105" s="58">
        <f>IFERROR(__xludf.DUMMYFUNCTION("IMPORTRANGE(""https://docs.google.com/spreadsheets/d/1bozxp9FwhaCNzy-RRGPVPfVYTttO4PUGDdaFvbz-Ue0/edit?gid=1870218791#gid=1870218791"", ""Rev vs Mktg &amp; Mktg Mix!H"" &amp; ROW(H43))
"),157.63000000000002)</f>
        <v>157.63</v>
      </c>
      <c r="I105" s="54">
        <f>IFERROR(__xludf.DUMMYFUNCTION("IMPORTRANGE(""https://docs.google.com/spreadsheets/d/1bozxp9FwhaCNzy-RRGPVPfVYTttO4PUGDdaFvbz-Ue0/edit?gid=1870218791#gid=1870218791"", ""Rev vs Mktg &amp; Mktg Mix!I"" &amp; ROW(K43))
"),145.596)</f>
        <v>145.596</v>
      </c>
      <c r="J105" s="54">
        <f>IFERROR(__xludf.DUMMYFUNCTION("IMPORTRANGE(""https://docs.google.com/spreadsheets/d/1bozxp9FwhaCNzy-RRGPVPfVYTttO4PUGDdaFvbz-Ue0/edit?gid=1870218791#gid=1870218791"", ""Rev vs Mktg &amp; Mktg Mix!J"" &amp; ROW(J43))
"),131.254)</f>
        <v>131.254</v>
      </c>
      <c r="K105" s="46">
        <f>VLOOKUP(VALUE(LEFT(A108, 4)), 'Raw Annual Revenue'!A:K, 11, FALSE) / 4</f>
        <v>15251.75</v>
      </c>
      <c r="L105" s="54">
        <f>IFERROR(__xludf.DUMMYFUNCTION("IMPORTRANGE(""https://docs.google.com/spreadsheets/d/1bozxp9FwhaCNzy-RRGPVPfVYTttO4PUGDdaFvbz-Ue0/edit?gid=1870218791#gid=1870218791"", ""Rev vs Mktg &amp; Mktg Mix!L"" &amp; ROW(N43))
"),67.97697525989999)</f>
        <v>67.97697526</v>
      </c>
      <c r="M105" s="57">
        <f>IFERROR(__xludf.DUMMYFUNCTION("IMPORTRANGE(""https://docs.google.com/spreadsheets/d/1bozxp9FwhaCNzy-RRGPVPfVYTttO4PUGDdaFvbz-Ue0/edit?gid=1870218791#gid=1870218791"", ""Rev vs Mktg &amp; Mktg Mix!M"" &amp; ROW(M43))
"),35.2044)</f>
        <v>35.2044</v>
      </c>
      <c r="N105" s="57">
        <f>IFERROR(__xludf.DUMMYFUNCTION("IMPORTRANGE(""https://docs.google.com/spreadsheets/d/1bozxp9FwhaCNzy-RRGPVPfVYTttO4PUGDdaFvbz-Ue0/edit?gid=1870218791#gid=1870218791"", ""Rev vs Mktg &amp; Mktg Mix!N"" &amp; ROW(N43))
"),6.112)</f>
        <v>6.112</v>
      </c>
      <c r="O105" s="57">
        <f>IFERROR(__xludf.DUMMYFUNCTION("IMPORTRANGE(""https://docs.google.com/spreadsheets/d/1bozxp9FwhaCNzy-RRGPVPfVYTttO4PUGDdaFvbz-Ue0/edit?gid=1870218791#gid=1870218791"", ""Rev vs Mktg &amp; Mktg Mix!O"" &amp; ROW(O43))
"),57.135000000000005)</f>
        <v>57.135</v>
      </c>
      <c r="P105" s="57">
        <f>IFERROR(__xludf.DUMMYFUNCTION("IMPORTRANGE(""https://docs.google.com/spreadsheets/d/1bozxp9FwhaCNzy-RRGPVPfVYTttO4PUGDdaFvbz-Ue0/edit?gid=1870218791#gid=1870218791"", ""Rev vs Mktg &amp; Mktg Mix!P"" &amp; ROW(P43))
"),16.835)</f>
        <v>16.835</v>
      </c>
      <c r="Q105" s="57"/>
      <c r="R105" s="57"/>
      <c r="S105" s="54">
        <f>IFERROR(__xludf.DUMMYFUNCTION("IMPORTRANGE(""https://docs.google.com/spreadsheets/d/1bozxp9FwhaCNzy-RRGPVPfVYTttO4PUGDdaFvbz-Ue0/edit?gid=1870218791#gid=1870218791"", ""Rev vs Mktg &amp; Mktg Mix!s"" &amp; ROW(S43))
"),76.47475)</f>
        <v>76.47475</v>
      </c>
      <c r="T105" s="60">
        <f>IFERROR(__xludf.DUMMYFUNCTION("IMPORTRANGE(""https://docs.google.com/spreadsheets/d/1bozxp9FwhaCNzy-RRGPVPfVYTttO4PUGDdaFvbz-Ue0/edit?gid=1870218791#gid=1870218791"", ""Rev vs Mktg &amp; Mktg Mix!T"" &amp; ROW(Y43))
"),12.711058823529413)</f>
        <v>12.71105882</v>
      </c>
      <c r="U105" s="60">
        <f>IFERROR(__xludf.DUMMYFUNCTION("IMPORTRANGE(""https://docs.google.com/spreadsheets/d/1bozxp9FwhaCNzy-RRGPVPfVYTttO4PUGDdaFvbz-Ue0/edit?gid=1870218791#gid=1870218791"", ""Rev vs Mktg &amp; Mktg Mix!u"" &amp; ROW(U43))
"),10.217)</f>
        <v>10.217</v>
      </c>
      <c r="V105" s="43"/>
      <c r="W105" s="43"/>
      <c r="X105" s="45">
        <f>VLOOKUP(VALUE(LEFT($A107, 4)), 'Raw Annual Revenue'!$A:X, 23, FALSE) / 4
</f>
        <v>0</v>
      </c>
      <c r="Y105" s="46">
        <f>VLOOKUP(VALUE(LEFT(A105, 4)), 'Raw Annual Revenue'!A:Y, 24, FALSE) / 4</f>
        <v>180008.5</v>
      </c>
      <c r="Z105" s="46">
        <f>VLOOKUP(VALUE(LEFT($A105, 4)), 'Raw Annual Revenue'!$A:Z, 25, FALSE) / 4</f>
        <v>85651.1215</v>
      </c>
      <c r="AA105" s="46">
        <f>VLOOKUP(VALUE(LEFT($A105, 4)), 'Raw Annual Revenue'!$A:AA, 26, FALSE) / 4</f>
        <v>28811.75</v>
      </c>
      <c r="AB105" s="46">
        <f>VLOOKUP(VALUE(LEFT($A105, 4)), 'Raw Annual Revenue'!$A:AB, 27, FALSE) / 4</f>
        <v>66020.25</v>
      </c>
      <c r="AC105" s="46">
        <f>VLOOKUP(VALUE(LEFT($A105, 4)), 'Raw Annual Revenue'!$A:AC, 28, FALSE) / 4</f>
        <v>2910</v>
      </c>
    </row>
    <row r="106">
      <c r="A106" s="42" t="s">
        <v>133</v>
      </c>
      <c r="B106" s="58">
        <f>IFERROR(__xludf.DUMMYFUNCTION("IMPORTRANGE(""https://docs.google.com/spreadsheets/d/1bozxp9FwhaCNzy-RRGPVPfVYTttO4PUGDdaFvbz-Ue0/edit?gid=1870218791#gid=1870218791"", ""Rev vs Mktg &amp; Mktg Mix!B"" &amp; ROW(A44))
"),1902.0)</f>
        <v>1902</v>
      </c>
      <c r="C106" s="54">
        <f>IFERROR(__xludf.DUMMYFUNCTION("IMPORTRANGE(""https://docs.google.com/spreadsheets/d/1bozxp9FwhaCNzy-RRGPVPfVYTttO4PUGDdaFvbz-Ue0/edit?gid=1870218791#gid=1870218791"", ""Rev vs Mktg &amp; Mktg Mix!C"" &amp; ROW(C44))
"),4049.0)</f>
        <v>4049</v>
      </c>
      <c r="D106" s="54">
        <f>IFERROR(__xludf.DUMMYFUNCTION("IMPORTRANGE(""https://docs.google.com/spreadsheets/d/1bozxp9FwhaCNzy-RRGPVPfVYTttO4PUGDdaFvbz-Ue0/edit?gid=1870218791#gid=1870218791"", ""Rev vs Mktg &amp; Mktg Mix!D"" &amp; ROW(D44))
"),2618.0)</f>
        <v>2618</v>
      </c>
      <c r="E106" s="54">
        <f>IFERROR(__xludf.DUMMYFUNCTION("IMPORTRANGE(""https://docs.google.com/spreadsheets/d/1bozxp9FwhaCNzy-RRGPVPfVYTttO4PUGDdaFvbz-Ue0/edit?gid=1870218791#gid=1870218791"", ""Rev vs Mktg &amp; Mktg Mix!E"" &amp; ROW(E44))
"),730.0)</f>
        <v>730</v>
      </c>
      <c r="F106" s="54">
        <f>IFERROR(__xludf.DUMMYFUNCTION("IMPORTRANGE(""https://docs.google.com/spreadsheets/d/1bozxp9FwhaCNzy-RRGPVPfVYTttO4PUGDdaFvbz-Ue0/edit?gid=1870218791#gid=1870218791"", ""Rev vs Mktg &amp; Mktg Mix!F"" &amp; ROW(F44))
"),354.0)</f>
        <v>354</v>
      </c>
      <c r="G106" s="54">
        <f>IFERROR(__xludf.DUMMYFUNCTION("IMPORTRANGE(""https://docs.google.com/spreadsheets/d/1bozxp9FwhaCNzy-RRGPVPfVYTttO4PUGDdaFvbz-Ue0/edit?gid=1870218791#gid=1870218791"", ""Rev vs Mktg &amp; Mktg Mix!G"" &amp; ROW(I44))
"),104.889)</f>
        <v>104.889</v>
      </c>
      <c r="H106" s="58">
        <f>IFERROR(__xludf.DUMMYFUNCTION("IMPORTRANGE(""https://docs.google.com/spreadsheets/d/1bozxp9FwhaCNzy-RRGPVPfVYTttO4PUGDdaFvbz-Ue0/edit?gid=1870218791#gid=1870218791"", ""Rev vs Mktg &amp; Mktg Mix!H"" &amp; ROW(H44))
"),143.55)</f>
        <v>143.55</v>
      </c>
      <c r="I106" s="54">
        <f>IFERROR(__xludf.DUMMYFUNCTION("IMPORTRANGE(""https://docs.google.com/spreadsheets/d/1bozxp9FwhaCNzy-RRGPVPfVYTttO4PUGDdaFvbz-Ue0/edit?gid=1870218791#gid=1870218791"", ""Rev vs Mktg &amp; Mktg Mix!I"" &amp; ROW(K44))
"),145.542)</f>
        <v>145.542</v>
      </c>
      <c r="J106" s="54">
        <f>IFERROR(__xludf.DUMMYFUNCTION("IMPORTRANGE(""https://docs.google.com/spreadsheets/d/1bozxp9FwhaCNzy-RRGPVPfVYTttO4PUGDdaFvbz-Ue0/edit?gid=1870218791#gid=1870218791"", ""Rev vs Mktg &amp; Mktg Mix!J"" &amp; ROW(J44))
"),170.526)</f>
        <v>170.526</v>
      </c>
      <c r="K106" s="46">
        <f>VLOOKUP(VALUE(LEFT(A109, 4)), 'Raw Annual Revenue'!A:K, 11, FALSE) / 4</f>
        <v>15251.75</v>
      </c>
      <c r="L106" s="54">
        <f>IFERROR(__xludf.DUMMYFUNCTION("IMPORTRANGE(""https://docs.google.com/spreadsheets/d/1bozxp9FwhaCNzy-RRGPVPfVYTttO4PUGDdaFvbz-Ue0/edit?gid=1870218791#gid=1870218791"", ""Rev vs Mktg &amp; Mktg Mix!L"" &amp; ROW(N44))
"),77.12589846569999)</f>
        <v>77.12589847</v>
      </c>
      <c r="M106" s="57">
        <f>IFERROR(__xludf.DUMMYFUNCTION("IMPORTRANGE(""https://docs.google.com/spreadsheets/d/1bozxp9FwhaCNzy-RRGPVPfVYTttO4PUGDdaFvbz-Ue0/edit?gid=1870218791#gid=1870218791"", ""Rev vs Mktg &amp; Mktg Mix!M"" &amp; ROW(M44))
"),30.6705)</f>
        <v>30.6705</v>
      </c>
      <c r="N106" s="57">
        <f>IFERROR(__xludf.DUMMYFUNCTION("IMPORTRANGE(""https://docs.google.com/spreadsheets/d/1bozxp9FwhaCNzy-RRGPVPfVYTttO4PUGDdaFvbz-Ue0/edit?gid=1870218791#gid=1870218791"", ""Rev vs Mktg &amp; Mktg Mix!N"" &amp; ROW(N44))
"),5.487)</f>
        <v>5.487</v>
      </c>
      <c r="O106" s="57">
        <f>IFERROR(__xludf.DUMMYFUNCTION("IMPORTRANGE(""https://docs.google.com/spreadsheets/d/1bozxp9FwhaCNzy-RRGPVPfVYTttO4PUGDdaFvbz-Ue0/edit?gid=1870218791#gid=1870218791"", ""Rev vs Mktg &amp; Mktg Mix!O"" &amp; ROW(O44))
"),61.29499999999999)</f>
        <v>61.295</v>
      </c>
      <c r="P106" s="57">
        <f>IFERROR(__xludf.DUMMYFUNCTION("IMPORTRANGE(""https://docs.google.com/spreadsheets/d/1bozxp9FwhaCNzy-RRGPVPfVYTttO4PUGDdaFvbz-Ue0/edit?gid=1870218791#gid=1870218791"", ""Rev vs Mktg &amp; Mktg Mix!P"" &amp; ROW(P44))
"),18.2)</f>
        <v>18.2</v>
      </c>
      <c r="Q106" s="57"/>
      <c r="R106" s="57"/>
      <c r="S106" s="54">
        <f>IFERROR(__xludf.DUMMYFUNCTION("IMPORTRANGE(""https://docs.google.com/spreadsheets/d/1bozxp9FwhaCNzy-RRGPVPfVYTttO4PUGDdaFvbz-Ue0/edit?gid=1870218791#gid=1870218791"", ""Rev vs Mktg &amp; Mktg Mix!s"" &amp; ROW(S44))
"),76.47475)</f>
        <v>76.47475</v>
      </c>
      <c r="T106" s="60">
        <f>IFERROR(__xludf.DUMMYFUNCTION("IMPORTRANGE(""https://docs.google.com/spreadsheets/d/1bozxp9FwhaCNzy-RRGPVPfVYTttO4PUGDdaFvbz-Ue0/edit?gid=1870218791#gid=1870218791"", ""Rev vs Mktg &amp; Mktg Mix!T"" &amp; ROW(Y44))
"),15.790705882352942)</f>
        <v>15.79070588</v>
      </c>
      <c r="U106" s="60">
        <f>IFERROR(__xludf.DUMMYFUNCTION("IMPORTRANGE(""https://docs.google.com/spreadsheets/d/1bozxp9FwhaCNzy-RRGPVPfVYTttO4PUGDdaFvbz-Ue0/edit?gid=1870218791#gid=1870218791"", ""Rev vs Mktg &amp; Mktg Mix!u"" &amp; ROW(U44))
"),10.911)</f>
        <v>10.911</v>
      </c>
      <c r="V106" s="43"/>
      <c r="W106" s="43"/>
      <c r="X106" s="45">
        <f>VLOOKUP(VALUE(LEFT($A108, 4)), 'Raw Annual Revenue'!$A:X, 23, FALSE) / 4
</f>
        <v>0</v>
      </c>
      <c r="Y106" s="46">
        <f>VLOOKUP(VALUE(LEFT(A106, 4)), 'Raw Annual Revenue'!A:Y, 24, FALSE) / 4</f>
        <v>180008.5</v>
      </c>
      <c r="Z106" s="46">
        <f>VLOOKUP(VALUE(LEFT($A106, 4)), 'Raw Annual Revenue'!$A:Z, 25, FALSE) / 4</f>
        <v>85651.1215</v>
      </c>
      <c r="AA106" s="46">
        <f>VLOOKUP(VALUE(LEFT($A106, 4)), 'Raw Annual Revenue'!$A:AA, 26, FALSE) / 4</f>
        <v>28811.75</v>
      </c>
      <c r="AB106" s="46">
        <f>VLOOKUP(VALUE(LEFT($A106, 4)), 'Raw Annual Revenue'!$A:AB, 27, FALSE) / 4</f>
        <v>66020.25</v>
      </c>
      <c r="AC106" s="46">
        <f>VLOOKUP(VALUE(LEFT($A106, 4)), 'Raw Annual Revenue'!$A:AC, 28, FALSE) / 4</f>
        <v>2910</v>
      </c>
    </row>
    <row r="107">
      <c r="A107" s="42" t="s">
        <v>134</v>
      </c>
      <c r="B107" s="58">
        <f>IFERROR(__xludf.DUMMYFUNCTION("IMPORTRANGE(""https://docs.google.com/spreadsheets/d/1bozxp9FwhaCNzy-RRGPVPfVYTttO4PUGDdaFvbz-Ue0/edit?gid=1870218791#gid=1870218791"", ""Rev vs Mktg &amp; Mktg Mix!B"" &amp; ROW(A45))
"),1818.0)</f>
        <v>1818</v>
      </c>
      <c r="C107" s="54">
        <f>IFERROR(__xludf.DUMMYFUNCTION("IMPORTRANGE(""https://docs.google.com/spreadsheets/d/1bozxp9FwhaCNzy-RRGPVPfVYTttO4PUGDdaFvbz-Ue0/edit?gid=1870218791#gid=1870218791"", ""Rev vs Mktg &amp; Mktg Mix!C"" &amp; ROW(C45))
"),3778.0)</f>
        <v>3778</v>
      </c>
      <c r="D107" s="54">
        <f>IFERROR(__xludf.DUMMYFUNCTION("IMPORTRANGE(""https://docs.google.com/spreadsheets/d/1bozxp9FwhaCNzy-RRGPVPfVYTttO4PUGDdaFvbz-Ue0/edit?gid=1870218791#gid=1870218791"", ""Rev vs Mktg &amp; Mktg Mix!D"" &amp; ROW(D45))
"),2665.0)</f>
        <v>2665</v>
      </c>
      <c r="E107" s="54">
        <f>IFERROR(__xludf.DUMMYFUNCTION("IMPORTRANGE(""https://docs.google.com/spreadsheets/d/1bozxp9FwhaCNzy-RRGPVPfVYTttO4PUGDdaFvbz-Ue0/edit?gid=1870218791#gid=1870218791"", ""Rev vs Mktg &amp; Mktg Mix!E"" &amp; ROW(E45))
"),1341.0)</f>
        <v>1341</v>
      </c>
      <c r="F107" s="54">
        <f>IFERROR(__xludf.DUMMYFUNCTION("IMPORTRANGE(""https://docs.google.com/spreadsheets/d/1bozxp9FwhaCNzy-RRGPVPfVYTttO4PUGDdaFvbz-Ue0/edit?gid=1870218791#gid=1870218791"", ""Rev vs Mktg &amp; Mktg Mix!F"" &amp; ROW(F45))
"),371.0)</f>
        <v>371</v>
      </c>
      <c r="G107" s="54">
        <f>IFERROR(__xludf.DUMMYFUNCTION("IMPORTRANGE(""https://docs.google.com/spreadsheets/d/1bozxp9FwhaCNzy-RRGPVPfVYTttO4PUGDdaFvbz-Ue0/edit?gid=1870218791#gid=1870218791"", ""Rev vs Mktg &amp; Mktg Mix!G"" &amp; ROW(I45))
"),111.036)</f>
        <v>111.036</v>
      </c>
      <c r="H107" s="58">
        <f>IFERROR(__xludf.DUMMYFUNCTION("IMPORTRANGE(""https://docs.google.com/spreadsheets/d/1bozxp9FwhaCNzy-RRGPVPfVYTttO4PUGDdaFvbz-Ue0/edit?gid=1870218791#gid=1870218791"", ""Rev vs Mktg &amp; Mktg Mix!H"" &amp; ROW(H45))
"),165.11)</f>
        <v>165.11</v>
      </c>
      <c r="I107" s="54">
        <f>IFERROR(__xludf.DUMMYFUNCTION("IMPORTRANGE(""https://docs.google.com/spreadsheets/d/1bozxp9FwhaCNzy-RRGPVPfVYTttO4PUGDdaFvbz-Ue0/edit?gid=1870218791#gid=1870218791"", ""Rev vs Mktg &amp; Mktg Mix!I"" &amp; ROW(K45))
"),158.707)</f>
        <v>158.707</v>
      </c>
      <c r="J107" s="54">
        <f>IFERROR(__xludf.DUMMYFUNCTION("IMPORTRANGE(""https://docs.google.com/spreadsheets/d/1bozxp9FwhaCNzy-RRGPVPfVYTttO4PUGDdaFvbz-Ue0/edit?gid=1870218791#gid=1870218791"", ""Rev vs Mktg &amp; Mktg Mix!J"" &amp; ROW(J45))
"),148.523)</f>
        <v>148.523</v>
      </c>
      <c r="K107" s="46">
        <f>VLOOKUP(VALUE(LEFT(A110, 4)), 'Raw Annual Revenue'!A:K, 11, FALSE) / 4</f>
        <v>15251.75</v>
      </c>
      <c r="L107" s="54">
        <f>IFERROR(__xludf.DUMMYFUNCTION("IMPORTRANGE(""https://docs.google.com/spreadsheets/d/1bozxp9FwhaCNzy-RRGPVPfVYTttO4PUGDdaFvbz-Ue0/edit?gid=1870218791#gid=1870218791"", ""Rev vs Mktg &amp; Mktg Mix!L"" &amp; ROW(N45))
"),83.1454142778)</f>
        <v>83.14541428</v>
      </c>
      <c r="M107" s="57">
        <f>IFERROR(__xludf.DUMMYFUNCTION("IMPORTRANGE(""https://docs.google.com/spreadsheets/d/1bozxp9FwhaCNzy-RRGPVPfVYTttO4PUGDdaFvbz-Ue0/edit?gid=1870218791#gid=1870218791"", ""Rev vs Mktg &amp; Mktg Mix!M"" &amp; ROW(M45))
"),45.0723)</f>
        <v>45.0723</v>
      </c>
      <c r="N107" s="57">
        <f>IFERROR(__xludf.DUMMYFUNCTION("IMPORTRANGE(""https://docs.google.com/spreadsheets/d/1bozxp9FwhaCNzy-RRGPVPfVYTttO4PUGDdaFvbz-Ue0/edit?gid=1870218791#gid=1870218791"", ""Rev vs Mktg &amp; Mktg Mix!N"" &amp; ROW(N45))
"),6.419)</f>
        <v>6.419</v>
      </c>
      <c r="O107" s="57">
        <f>IFERROR(__xludf.DUMMYFUNCTION("IMPORTRANGE(""https://docs.google.com/spreadsheets/d/1bozxp9FwhaCNzy-RRGPVPfVYTttO4PUGDdaFvbz-Ue0/edit?gid=1870218791#gid=1870218791"", ""Rev vs Mktg &amp; Mktg Mix!O"" &amp; ROW(O45))
"),61.29499999999999)</f>
        <v>61.295</v>
      </c>
      <c r="P107" s="57">
        <f>IFERROR(__xludf.DUMMYFUNCTION("IMPORTRANGE(""https://docs.google.com/spreadsheets/d/1bozxp9FwhaCNzy-RRGPVPfVYTttO4PUGDdaFvbz-Ue0/edit?gid=1870218791#gid=1870218791"", ""Rev vs Mktg &amp; Mktg Mix!P"" &amp; ROW(P45))
"),18.2)</f>
        <v>18.2</v>
      </c>
      <c r="Q107" s="57"/>
      <c r="R107" s="57"/>
      <c r="S107" s="54">
        <f>IFERROR(__xludf.DUMMYFUNCTION("IMPORTRANGE(""https://docs.google.com/spreadsheets/d/1bozxp9FwhaCNzy-RRGPVPfVYTttO4PUGDdaFvbz-Ue0/edit?gid=1870218791#gid=1870218791"", ""Rev vs Mktg &amp; Mktg Mix!s"" &amp; ROW(S45))
"),98.01)</f>
        <v>98.01</v>
      </c>
      <c r="T107" s="60">
        <f>IFERROR(__xludf.DUMMYFUNCTION("IMPORTRANGE(""https://docs.google.com/spreadsheets/d/1bozxp9FwhaCNzy-RRGPVPfVYTttO4PUGDdaFvbz-Ue0/edit?gid=1870218791#gid=1870218791"", ""Rev vs Mktg &amp; Mktg Mix!T"" &amp; ROW(Y45))
"),13.62435294117647)</f>
        <v>13.62435294</v>
      </c>
      <c r="U107" s="60">
        <f>IFERROR(__xludf.DUMMYFUNCTION("IMPORTRANGE(""https://docs.google.com/spreadsheets/d/1bozxp9FwhaCNzy-RRGPVPfVYTttO4PUGDdaFvbz-Ue0/edit?gid=1870218791#gid=1870218791"", ""Rev vs Mktg &amp; Mktg Mix!u"" &amp; ROW(U45))
"),14.531)</f>
        <v>14.531</v>
      </c>
      <c r="V107" s="43"/>
      <c r="W107" s="43"/>
      <c r="X107" s="45">
        <f>VLOOKUP(VALUE(LEFT($A109, 4)), 'Raw Annual Revenue'!$A:X, 23, FALSE) / 4
</f>
        <v>0</v>
      </c>
      <c r="Y107" s="46">
        <f>VLOOKUP(VALUE(LEFT(A107, 4)), 'Raw Annual Revenue'!A:Y, 24, FALSE) / 4</f>
        <v>378176.25</v>
      </c>
      <c r="Z107" s="46">
        <f>VLOOKUP(VALUE(LEFT($A107, 4)), 'Raw Annual Revenue'!$A:Z, 25, FALSE) / 4</f>
        <v>109197.5</v>
      </c>
      <c r="AA107" s="46">
        <f>VLOOKUP(VALUE(LEFT($A107, 4)), 'Raw Annual Revenue'!$A:AA, 26, FALSE) / 4</f>
        <v>51823.75</v>
      </c>
      <c r="AB107" s="46">
        <f>VLOOKUP(VALUE(LEFT($A107, 4)), 'Raw Annual Revenue'!$A:AB, 27, FALSE) / 4</f>
        <v>78524</v>
      </c>
      <c r="AC107" s="46">
        <f>VLOOKUP(VALUE(LEFT($A107, 4)), 'Raw Annual Revenue'!$A:AC, 28, FALSE) / 4</f>
        <v>0</v>
      </c>
    </row>
    <row r="108">
      <c r="A108" s="42" t="s">
        <v>135</v>
      </c>
      <c r="B108" s="58">
        <f>IFERROR(__xludf.DUMMYFUNCTION("IMPORTRANGE(""https://docs.google.com/spreadsheets/d/1bozxp9FwhaCNzy-RRGPVPfVYTttO4PUGDdaFvbz-Ue0/edit?gid=1870218791#gid=1870218791"", ""Rev vs Mktg &amp; Mktg Mix!B"" &amp; ROW(A46))
"),2484.0)</f>
        <v>2484</v>
      </c>
      <c r="C108" s="54">
        <f>IFERROR(__xludf.DUMMYFUNCTION("IMPORTRANGE(""https://docs.google.com/spreadsheets/d/1bozxp9FwhaCNzy-RRGPVPfVYTttO4PUGDdaFvbz-Ue0/edit?gid=1870218791#gid=1870218791"", ""Rev vs Mktg &amp; Mktg Mix!C"" &amp; ROW(C46))
"),5462.0)</f>
        <v>5462</v>
      </c>
      <c r="D108" s="54">
        <f>IFERROR(__xludf.DUMMYFUNCTION("IMPORTRANGE(""https://docs.google.com/spreadsheets/d/1bozxp9FwhaCNzy-RRGPVPfVYTttO4PUGDdaFvbz-Ue0/edit?gid=1870218791#gid=1870218791"", ""Rev vs Mktg &amp; Mktg Mix!D"" &amp; ROW(D46))
"),3358.0)</f>
        <v>3358</v>
      </c>
      <c r="E108" s="54">
        <f>IFERROR(__xludf.DUMMYFUNCTION("IMPORTRANGE(""https://docs.google.com/spreadsheets/d/1bozxp9FwhaCNzy-RRGPVPfVYTttO4PUGDdaFvbz-Ue0/edit?gid=1870218791#gid=1870218791"", ""Rev vs Mktg &amp; Mktg Mix!E"" &amp; ROW(E46))
"),1554.0)</f>
        <v>1554</v>
      </c>
      <c r="F108" s="54">
        <f>IFERROR(__xludf.DUMMYFUNCTION("IMPORTRANGE(""https://docs.google.com/spreadsheets/d/1bozxp9FwhaCNzy-RRGPVPfVYTttO4PUGDdaFvbz-Ue0/edit?gid=1870218791#gid=1870218791"", ""Rev vs Mktg &amp; Mktg Mix!F"" &amp; ROW(F46))
"),494.0)</f>
        <v>494</v>
      </c>
      <c r="G108" s="54">
        <f>IFERROR(__xludf.DUMMYFUNCTION("IMPORTRANGE(""https://docs.google.com/spreadsheets/d/1bozxp9FwhaCNzy-RRGPVPfVYTttO4PUGDdaFvbz-Ue0/edit?gid=1870218791#gid=1870218791"", ""Rev vs Mktg &amp; Mktg Mix!G"" &amp; ROW(I46))
"),124.436)</f>
        <v>124.436</v>
      </c>
      <c r="H108" s="58">
        <f>IFERROR(__xludf.DUMMYFUNCTION("IMPORTRANGE(""https://docs.google.com/spreadsheets/d/1bozxp9FwhaCNzy-RRGPVPfVYTttO4PUGDdaFvbz-Ue0/edit?gid=1870218791#gid=1870218791"", ""Rev vs Mktg &amp; Mktg Mix!H"" &amp; ROW(H46))
"),173.25)</f>
        <v>173.25</v>
      </c>
      <c r="I108" s="54">
        <f>IFERROR(__xludf.DUMMYFUNCTION("IMPORTRANGE(""https://docs.google.com/spreadsheets/d/1bozxp9FwhaCNzy-RRGPVPfVYTttO4PUGDdaFvbz-Ue0/edit?gid=1870218791#gid=1870218791"", ""Rev vs Mktg &amp; Mktg Mix!I"" &amp; ROW(K46))
"),165.524)</f>
        <v>165.524</v>
      </c>
      <c r="J108" s="54">
        <f>IFERROR(__xludf.DUMMYFUNCTION("IMPORTRANGE(""https://docs.google.com/spreadsheets/d/1bozxp9FwhaCNzy-RRGPVPfVYTttO4PUGDdaFvbz-Ue0/edit?gid=1870218791#gid=1870218791"", ""Rev vs Mktg &amp; Mktg Mix!J"" &amp; ROW(J46))
"),196.731)</f>
        <v>196.731</v>
      </c>
      <c r="K108" s="46">
        <f>VLOOKUP(VALUE(LEFT(A111, 4)), 'Raw Annual Revenue'!A:K, 11, FALSE) / 4</f>
        <v>19943</v>
      </c>
      <c r="L108" s="54">
        <f>IFERROR(__xludf.DUMMYFUNCTION("IMPORTRANGE(""https://docs.google.com/spreadsheets/d/1bozxp9FwhaCNzy-RRGPVPfVYTttO4PUGDdaFvbz-Ue0/edit?gid=1870218791#gid=1870218791"", ""Rev vs Mktg &amp; Mktg Mix!L"" &amp; ROW(N46))
"),91.96206448800001)</f>
        <v>91.96206449</v>
      </c>
      <c r="M108" s="57">
        <f>IFERROR(__xludf.DUMMYFUNCTION("IMPORTRANGE(""https://docs.google.com/spreadsheets/d/1bozxp9FwhaCNzy-RRGPVPfVYTttO4PUGDdaFvbz-Ue0/edit?gid=1870218791#gid=1870218791"", ""Rev vs Mktg &amp; Mktg Mix!M"" &amp; ROW(M46))
"),49.6062)</f>
        <v>49.6062</v>
      </c>
      <c r="N108" s="57">
        <f>IFERROR(__xludf.DUMMYFUNCTION("IMPORTRANGE(""https://docs.google.com/spreadsheets/d/1bozxp9FwhaCNzy-RRGPVPfVYTttO4PUGDdaFvbz-Ue0/edit?gid=1870218791#gid=1870218791"", ""Rev vs Mktg &amp; Mktg Mix!N"" &amp; ROW(N46))
"),7.792)</f>
        <v>7.792</v>
      </c>
      <c r="O108" s="57">
        <f>IFERROR(__xludf.DUMMYFUNCTION("IMPORTRANGE(""https://docs.google.com/spreadsheets/d/1bozxp9FwhaCNzy-RRGPVPfVYTttO4PUGDdaFvbz-Ue0/edit?gid=1870218791#gid=1870218791"", ""Rev vs Mktg &amp; Mktg Mix!O"" &amp; ROW(O46))
"),79.4625)</f>
        <v>79.4625</v>
      </c>
      <c r="P108" s="57">
        <f>IFERROR(__xludf.DUMMYFUNCTION("IMPORTRANGE(""https://docs.google.com/spreadsheets/d/1bozxp9FwhaCNzy-RRGPVPfVYTttO4PUGDdaFvbz-Ue0/edit?gid=1870218791#gid=1870218791"", ""Rev vs Mktg &amp; Mktg Mix!P"" &amp; ROW(P46))
"),17.8425)</f>
        <v>17.8425</v>
      </c>
      <c r="Q108" s="57"/>
      <c r="R108" s="57"/>
      <c r="S108" s="54">
        <f>IFERROR(__xludf.DUMMYFUNCTION("IMPORTRANGE(""https://docs.google.com/spreadsheets/d/1bozxp9FwhaCNzy-RRGPVPfVYTttO4PUGDdaFvbz-Ue0/edit?gid=1870218791#gid=1870218791"", ""Rev vs Mktg &amp; Mktg Mix!s"" &amp; ROW(S46))
"),99.99000000000001)</f>
        <v>99.99</v>
      </c>
      <c r="T108" s="60">
        <f>IFERROR(__xludf.DUMMYFUNCTION("IMPORTRANGE(""https://docs.google.com/spreadsheets/d/1bozxp9FwhaCNzy-RRGPVPfVYTttO4PUGDdaFvbz-Ue0/edit?gid=1870218791#gid=1870218791"", ""Rev vs Mktg &amp; Mktg Mix!T"" &amp; ROW(Y46))
"),12.406470588235294)</f>
        <v>12.40647059</v>
      </c>
      <c r="U108" s="60">
        <f>IFERROR(__xludf.DUMMYFUNCTION("IMPORTRANGE(""https://docs.google.com/spreadsheets/d/1bozxp9FwhaCNzy-RRGPVPfVYTttO4PUGDdaFvbz-Ue0/edit?gid=1870218791#gid=1870218791"", ""Rev vs Mktg &amp; Mktg Mix!u"" &amp; ROW(U46))
"),13.476)</f>
        <v>13.476</v>
      </c>
      <c r="V108" s="43"/>
      <c r="W108" s="43"/>
      <c r="X108" s="45">
        <f>VLOOKUP(VALUE(LEFT($A110, 4)), 'Raw Annual Revenue'!$A:X, 23, FALSE) / 4
</f>
        <v>0</v>
      </c>
      <c r="Y108" s="46">
        <f>VLOOKUP(VALUE(LEFT(A108, 4)), 'Raw Annual Revenue'!A:Y, 24, FALSE) / 4</f>
        <v>378176.25</v>
      </c>
      <c r="Z108" s="46">
        <f>VLOOKUP(VALUE(LEFT($A108, 4)), 'Raw Annual Revenue'!$A:Z, 25, FALSE) / 4</f>
        <v>109197.5</v>
      </c>
      <c r="AA108" s="46">
        <f>VLOOKUP(VALUE(LEFT($A108, 4)), 'Raw Annual Revenue'!$A:AA, 26, FALSE) / 4</f>
        <v>51823.75</v>
      </c>
      <c r="AB108" s="46">
        <f>VLOOKUP(VALUE(LEFT($A108, 4)), 'Raw Annual Revenue'!$A:AB, 27, FALSE) / 4</f>
        <v>78524</v>
      </c>
      <c r="AC108" s="46">
        <f>VLOOKUP(VALUE(LEFT($A108, 4)), 'Raw Annual Revenue'!$A:AC, 28, FALSE) / 4</f>
        <v>0</v>
      </c>
    </row>
    <row r="109">
      <c r="A109" s="42" t="s">
        <v>136</v>
      </c>
      <c r="B109" s="58">
        <f>IFERROR(__xludf.DUMMYFUNCTION("IMPORTRANGE(""https://docs.google.com/spreadsheets/d/1bozxp9FwhaCNzy-RRGPVPfVYTttO4PUGDdaFvbz-Ue0/edit?gid=1870218791#gid=1870218791"", ""Rev vs Mktg &amp; Mktg Mix!B"" &amp; ROW(A47))
"),3397.0)</f>
        <v>3397</v>
      </c>
      <c r="C109" s="54">
        <f>IFERROR(__xludf.DUMMYFUNCTION("IMPORTRANGE(""https://docs.google.com/spreadsheets/d/1bozxp9FwhaCNzy-RRGPVPfVYTttO4PUGDdaFvbz-Ue0/edit?gid=1870218791#gid=1870218791"", ""Rev vs Mktg &amp; Mktg Mix!C"" &amp; ROW(C47))
"),7341.0)</f>
        <v>7341</v>
      </c>
      <c r="D109" s="54">
        <f>IFERROR(__xludf.DUMMYFUNCTION("IMPORTRANGE(""https://docs.google.com/spreadsheets/d/1bozxp9FwhaCNzy-RRGPVPfVYTttO4PUGDdaFvbz-Ue0/edit?gid=1870218791#gid=1870218791"", ""Rev vs Mktg &amp; Mktg Mix!D"" &amp; ROW(D47))
"),3929.0)</f>
        <v>3929</v>
      </c>
      <c r="E109" s="54">
        <f>IFERROR(__xludf.DUMMYFUNCTION("IMPORTRANGE(""https://docs.google.com/spreadsheets/d/1bozxp9FwhaCNzy-RRGPVPfVYTttO4PUGDdaFvbz-Ue0/edit?gid=1870218791#gid=1870218791"", ""Rev vs Mktg &amp; Mktg Mix!E"" &amp; ROW(E47))
"),1885.0)</f>
        <v>1885</v>
      </c>
      <c r="F109" s="54">
        <f>IFERROR(__xludf.DUMMYFUNCTION("IMPORTRANGE(""https://docs.google.com/spreadsheets/d/1bozxp9FwhaCNzy-RRGPVPfVYTttO4PUGDdaFvbz-Ue0/edit?gid=1870218791#gid=1870218791"", ""Rev vs Mktg &amp; Mktg Mix!F"" &amp; ROW(F47))
"),533.0)</f>
        <v>533</v>
      </c>
      <c r="G109" s="54">
        <f>IFERROR(__xludf.DUMMYFUNCTION("IMPORTRANGE(""https://docs.google.com/spreadsheets/d/1bozxp9FwhaCNzy-RRGPVPfVYTttO4PUGDdaFvbz-Ue0/edit?gid=1870218791#gid=1870218791"", ""Rev vs Mktg &amp; Mktg Mix!G"" &amp; ROW(I47))
"),157.862)</f>
        <v>157.862</v>
      </c>
      <c r="H109" s="58">
        <f>IFERROR(__xludf.DUMMYFUNCTION("IMPORTRANGE(""https://docs.google.com/spreadsheets/d/1bozxp9FwhaCNzy-RRGPVPfVYTttO4PUGDdaFvbz-Ue0/edit?gid=1870218791#gid=1870218791"", ""Rev vs Mktg &amp; Mktg Mix!H"" &amp; ROW(H47))
"),186.45000000000002)</f>
        <v>186.45</v>
      </c>
      <c r="I109" s="54">
        <f>IFERROR(__xludf.DUMMYFUNCTION("IMPORTRANGE(""https://docs.google.com/spreadsheets/d/1bozxp9FwhaCNzy-RRGPVPfVYTttO4PUGDdaFvbz-Ue0/edit?gid=1870218791#gid=1870218791"", ""Rev vs Mktg &amp; Mktg Mix!I"" &amp; ROW(K47))
"),178.1)</f>
        <v>178.1</v>
      </c>
      <c r="J109" s="54">
        <f>IFERROR(__xludf.DUMMYFUNCTION("IMPORTRANGE(""https://docs.google.com/spreadsheets/d/1bozxp9FwhaCNzy-RRGPVPfVYTttO4PUGDdaFvbz-Ue0/edit?gid=1870218791#gid=1870218791"", ""Rev vs Mktg &amp; Mktg Mix!J"" &amp; ROW(J47))
"),168.69)</f>
        <v>168.69</v>
      </c>
      <c r="K109" s="46">
        <f>VLOOKUP(VALUE(LEFT(A112, 4)), 'Raw Annual Revenue'!A:K, 11, FALSE) / 4</f>
        <v>19943</v>
      </c>
      <c r="L109" s="54">
        <f>IFERROR(__xludf.DUMMYFUNCTION("IMPORTRANGE(""https://docs.google.com/spreadsheets/d/1bozxp9FwhaCNzy-RRGPVPfVYTttO4PUGDdaFvbz-Ue0/edit?gid=1870218791#gid=1870218791"", ""Rev vs Mktg &amp; Mktg Mix!L"" &amp; ROW(N47))
"),94.89137780639999)</f>
        <v>94.89137781</v>
      </c>
      <c r="M109" s="57">
        <f>IFERROR(__xludf.DUMMYFUNCTION("IMPORTRANGE(""https://docs.google.com/spreadsheets/d/1bozxp9FwhaCNzy-RRGPVPfVYTttO4PUGDdaFvbz-Ue0/edit?gid=1870218791#gid=1870218791"", ""Rev vs Mktg &amp; Mktg Mix!M"" &amp; ROW(M47))
"),55.7403)</f>
        <v>55.7403</v>
      </c>
      <c r="N109" s="57">
        <f>IFERROR(__xludf.DUMMYFUNCTION("IMPORTRANGE(""https://docs.google.com/spreadsheets/d/1bozxp9FwhaCNzy-RRGPVPfVYTttO4PUGDdaFvbz-Ue0/edit?gid=1870218791#gid=1870218791"", ""Rev vs Mktg &amp; Mktg Mix!N"" &amp; ROW(N47))
"),8.131)</f>
        <v>8.131</v>
      </c>
      <c r="O109" s="57">
        <f>IFERROR(__xludf.DUMMYFUNCTION("IMPORTRANGE(""https://docs.google.com/spreadsheets/d/1bozxp9FwhaCNzy-RRGPVPfVYTttO4PUGDdaFvbz-Ue0/edit?gid=1870218791#gid=1870218791"", ""Rev vs Mktg &amp; Mktg Mix!O"" &amp; ROW(O47))
"),79.4625)</f>
        <v>79.4625</v>
      </c>
      <c r="P109" s="57">
        <f>IFERROR(__xludf.DUMMYFUNCTION("IMPORTRANGE(""https://docs.google.com/spreadsheets/d/1bozxp9FwhaCNzy-RRGPVPfVYTttO4PUGDdaFvbz-Ue0/edit?gid=1870218791#gid=1870218791"", ""Rev vs Mktg &amp; Mktg Mix!P"" &amp; ROW(P47))
"),17.8425)</f>
        <v>17.8425</v>
      </c>
      <c r="Q109" s="57"/>
      <c r="R109" s="57"/>
      <c r="S109" s="54">
        <f>IFERROR(__xludf.DUMMYFUNCTION("IMPORTRANGE(""https://docs.google.com/spreadsheets/d/1bozxp9FwhaCNzy-RRGPVPfVYTttO4PUGDdaFvbz-Ue0/edit?gid=1870218791#gid=1870218791"", ""Rev vs Mktg &amp; Mktg Mix!s"" &amp; ROW(S47))
"),89.65)</f>
        <v>89.65</v>
      </c>
      <c r="T109" s="60">
        <f>IFERROR(__xludf.DUMMYFUNCTION("IMPORTRANGE(""https://docs.google.com/spreadsheets/d/1bozxp9FwhaCNzy-RRGPVPfVYTttO4PUGDdaFvbz-Ue0/edit?gid=1870218791#gid=1870218791"", ""Rev vs Mktg &amp; Mktg Mix!T"" &amp; ROW(Y47))
"),14.527176470588234)</f>
        <v>14.52717647</v>
      </c>
      <c r="U109" s="60">
        <f>IFERROR(__xludf.DUMMYFUNCTION("IMPORTRANGE(""https://docs.google.com/spreadsheets/d/1bozxp9FwhaCNzy-RRGPVPfVYTttO4PUGDdaFvbz-Ue0/edit?gid=1870218791#gid=1870218791"", ""Rev vs Mktg &amp; Mktg Mix!u"" &amp; ROW(U47))
"),11.405)</f>
        <v>11.405</v>
      </c>
      <c r="V109" s="43"/>
      <c r="W109" s="43"/>
      <c r="X109" s="45">
        <f>VLOOKUP(VALUE(LEFT($A111, 4)), 'Raw Annual Revenue'!$A:X, 23, FALSE) / 4
</f>
        <v>0</v>
      </c>
      <c r="Y109" s="46">
        <f>VLOOKUP(VALUE(LEFT(A109, 4)), 'Raw Annual Revenue'!A:Y, 24, FALSE) / 4</f>
        <v>378176.25</v>
      </c>
      <c r="Z109" s="46">
        <f>VLOOKUP(VALUE(LEFT($A109, 4)), 'Raw Annual Revenue'!$A:Z, 25, FALSE) / 4</f>
        <v>109197.5</v>
      </c>
      <c r="AA109" s="46">
        <f>VLOOKUP(VALUE(LEFT($A109, 4)), 'Raw Annual Revenue'!$A:AA, 26, FALSE) / 4</f>
        <v>51823.75</v>
      </c>
      <c r="AB109" s="46">
        <f>VLOOKUP(VALUE(LEFT($A109, 4)), 'Raw Annual Revenue'!$A:AB, 27, FALSE) / 4</f>
        <v>78524</v>
      </c>
      <c r="AC109" s="46">
        <f>VLOOKUP(VALUE(LEFT($A109, 4)), 'Raw Annual Revenue'!$A:AC, 28, FALSE) / 4</f>
        <v>0</v>
      </c>
    </row>
    <row r="110">
      <c r="A110" s="42" t="s">
        <v>137</v>
      </c>
      <c r="B110" s="58">
        <f>IFERROR(__xludf.DUMMYFUNCTION("IMPORTRANGE(""https://docs.google.com/spreadsheets/d/1bozxp9FwhaCNzy-RRGPVPfVYTttO4PUGDdaFvbz-Ue0/edit?gid=1870218791#gid=1870218791"", ""Rev vs Mktg &amp; Mktg Mix!B"" &amp; ROW(A48))
"),2218.0)</f>
        <v>2218</v>
      </c>
      <c r="C110" s="54">
        <f>IFERROR(__xludf.DUMMYFUNCTION("IMPORTRANGE(""https://docs.google.com/spreadsheets/d/1bozxp9FwhaCNzy-RRGPVPfVYTttO4PUGDdaFvbz-Ue0/edit?gid=1870218791#gid=1870218791"", ""Rev vs Mktg &amp; Mktg Mix!C"" &amp; ROW(C48))
"),4784.0)</f>
        <v>4784</v>
      </c>
      <c r="D110" s="54">
        <f>IFERROR(__xludf.DUMMYFUNCTION("IMPORTRANGE(""https://docs.google.com/spreadsheets/d/1bozxp9FwhaCNzy-RRGPVPfVYTttO4PUGDdaFvbz-Ue0/edit?gid=1870218791#gid=1870218791"", ""Rev vs Mktg &amp; Mktg Mix!D"" &amp; ROW(D48))
"),2887.0)</f>
        <v>2887</v>
      </c>
      <c r="E110" s="54">
        <f>IFERROR(__xludf.DUMMYFUNCTION("IMPORTRANGE(""https://docs.google.com/spreadsheets/d/1bozxp9FwhaCNzy-RRGPVPfVYTttO4PUGDdaFvbz-Ue0/edit?gid=1870218791#gid=1870218791"", ""Rev vs Mktg &amp; Mktg Mix!E"" &amp; ROW(E48))
"),1456.0)</f>
        <v>1456</v>
      </c>
      <c r="F110" s="54">
        <f>IFERROR(__xludf.DUMMYFUNCTION("IMPORTRANGE(""https://docs.google.com/spreadsheets/d/1bozxp9FwhaCNzy-RRGPVPfVYTttO4PUGDdaFvbz-Ue0/edit?gid=1870218791#gid=1870218791"", ""Rev vs Mktg &amp; Mktg Mix!F"" &amp; ROW(F48))
"),390.0)</f>
        <v>390</v>
      </c>
      <c r="G110" s="54">
        <f>IFERROR(__xludf.DUMMYFUNCTION("IMPORTRANGE(""https://docs.google.com/spreadsheets/d/1bozxp9FwhaCNzy-RRGPVPfVYTttO4PUGDdaFvbz-Ue0/edit?gid=1870218791#gid=1870218791"", ""Rev vs Mktg &amp; Mktg Mix!G"" &amp; ROW(I48))
"),91.697)</f>
        <v>91.697</v>
      </c>
      <c r="H110" s="58">
        <f>IFERROR(__xludf.DUMMYFUNCTION("IMPORTRANGE(""https://docs.google.com/spreadsheets/d/1bozxp9FwhaCNzy-RRGPVPfVYTttO4PUGDdaFvbz-Ue0/edit?gid=1870218791#gid=1870218791"", ""Rev vs Mktg &amp; Mktg Mix!H"" &amp; ROW(H48))
"),161.92)</f>
        <v>161.92</v>
      </c>
      <c r="I110" s="54">
        <f>IFERROR(__xludf.DUMMYFUNCTION("IMPORTRANGE(""https://docs.google.com/spreadsheets/d/1bozxp9FwhaCNzy-RRGPVPfVYTttO4PUGDdaFvbz-Ue0/edit?gid=1870218791#gid=1870218791"", ""Rev vs Mktg &amp; Mktg Mix!I"" &amp; ROW(K48))
"),203.66)</f>
        <v>203.66</v>
      </c>
      <c r="J110" s="54">
        <f>IFERROR(__xludf.DUMMYFUNCTION("IMPORTRANGE(""https://docs.google.com/spreadsheets/d/1bozxp9FwhaCNzy-RRGPVPfVYTttO4PUGDdaFvbz-Ue0/edit?gid=1870218791#gid=1870218791"", ""Rev vs Mktg &amp; Mktg Mix!J"" &amp; ROW(J48))
"),214.216)</f>
        <v>214.216</v>
      </c>
      <c r="K110" s="46">
        <f>VLOOKUP(VALUE(LEFT(A113, 4)), 'Raw Annual Revenue'!A:K, 11, FALSE) / 4</f>
        <v>19943</v>
      </c>
      <c r="L110" s="54">
        <f>IFERROR(__xludf.DUMMYFUNCTION("IMPORTRANGE(""https://docs.google.com/spreadsheets/d/1bozxp9FwhaCNzy-RRGPVPfVYTttO4PUGDdaFvbz-Ue0/edit?gid=1870218791#gid=1870218791"", ""Rev vs Mktg &amp; Mktg Mix!L"" &amp; ROW(N48))
"),106.6247488278)</f>
        <v>106.6247488</v>
      </c>
      <c r="M110" s="57">
        <f>IFERROR(__xludf.DUMMYFUNCTION("IMPORTRANGE(""https://docs.google.com/spreadsheets/d/1bozxp9FwhaCNzy-RRGPVPfVYTttO4PUGDdaFvbz-Ue0/edit?gid=1870218791#gid=1870218791"", ""Rev vs Mktg &amp; Mktg Mix!M"" &amp; ROW(M48))
"),68.7223806906)</f>
        <v>68.72238069</v>
      </c>
      <c r="N110" s="57">
        <f>IFERROR(__xludf.DUMMYFUNCTION("IMPORTRANGE(""https://docs.google.com/spreadsheets/d/1bozxp9FwhaCNzy-RRGPVPfVYTttO4PUGDdaFvbz-Ue0/edit?gid=1870218791#gid=1870218791"", ""Rev vs Mktg &amp; Mktg Mix!N"" &amp; ROW(N48))
"),8.252)</f>
        <v>8.252</v>
      </c>
      <c r="O110" s="57">
        <f>IFERROR(__xludf.DUMMYFUNCTION("IMPORTRANGE(""https://docs.google.com/spreadsheets/d/1bozxp9FwhaCNzy-RRGPVPfVYTttO4PUGDdaFvbz-Ue0/edit?gid=1870218791#gid=1870218791"", ""Rev vs Mktg &amp; Mktg Mix!O"" &amp; ROW(O48))
"),73.775)</f>
        <v>73.775</v>
      </c>
      <c r="P110" s="57">
        <f>IFERROR(__xludf.DUMMYFUNCTION("IMPORTRANGE(""https://docs.google.com/spreadsheets/d/1bozxp9FwhaCNzy-RRGPVPfVYTttO4PUGDdaFvbz-Ue0/edit?gid=1870218791#gid=1870218791"", ""Rev vs Mktg &amp; Mktg Mix!P"" &amp; ROW(P48))
"),19.5)</f>
        <v>19.5</v>
      </c>
      <c r="Q110" s="57"/>
      <c r="R110" s="57"/>
      <c r="S110" s="54">
        <f>IFERROR(__xludf.DUMMYFUNCTION("IMPORTRANGE(""https://docs.google.com/spreadsheets/d/1bozxp9FwhaCNzy-RRGPVPfVYTttO4PUGDdaFvbz-Ue0/edit?gid=1870218791#gid=1870218791"", ""Rev vs Mktg &amp; Mktg Mix!s"" &amp; ROW(S48))
"),65.78)</f>
        <v>65.78</v>
      </c>
      <c r="T110" s="60">
        <f>IFERROR(__xludf.DUMMYFUNCTION("IMPORTRANGE(""https://docs.google.com/spreadsheets/d/1bozxp9FwhaCNzy-RRGPVPfVYTttO4PUGDdaFvbz-Ue0/edit?gid=1870218791#gid=1870218791"", ""Rev vs Mktg &amp; Mktg Mix!T"" &amp; ROW(Y48))
"),15.68035294117647)</f>
        <v>15.68035294</v>
      </c>
      <c r="U110" s="60">
        <f>IFERROR(__xludf.DUMMYFUNCTION("IMPORTRANGE(""https://docs.google.com/spreadsheets/d/1bozxp9FwhaCNzy-RRGPVPfVYTttO4PUGDdaFvbz-Ue0/edit?gid=1870218791#gid=1870218791"", ""Rev vs Mktg &amp; Mktg Mix!u"" &amp; ROW(U48))
"),13.368)</f>
        <v>13.368</v>
      </c>
      <c r="V110" s="43"/>
      <c r="W110" s="43"/>
      <c r="X110" s="45">
        <f>VLOOKUP(VALUE(LEFT($A112, 4)), 'Raw Annual Revenue'!$A:X, 23, FALSE) / 4
</f>
        <v>0</v>
      </c>
      <c r="Y110" s="46">
        <f>VLOOKUP(VALUE(LEFT(A110, 4)), 'Raw Annual Revenue'!A:Y, 24, FALSE) / 4</f>
        <v>378176.25</v>
      </c>
      <c r="Z110" s="46">
        <f>VLOOKUP(VALUE(LEFT($A110, 4)), 'Raw Annual Revenue'!$A:Z, 25, FALSE) / 4</f>
        <v>109197.5</v>
      </c>
      <c r="AA110" s="46">
        <f>VLOOKUP(VALUE(LEFT($A110, 4)), 'Raw Annual Revenue'!$A:AA, 26, FALSE) / 4</f>
        <v>51823.75</v>
      </c>
      <c r="AB110" s="46">
        <f>VLOOKUP(VALUE(LEFT($A110, 4)), 'Raw Annual Revenue'!$A:AB, 27, FALSE) / 4</f>
        <v>78524</v>
      </c>
      <c r="AC110" s="46">
        <f>VLOOKUP(VALUE(LEFT($A110, 4)), 'Raw Annual Revenue'!$A:AC, 28, FALSE) / 4</f>
        <v>0</v>
      </c>
    </row>
    <row r="111">
      <c r="A111" s="42" t="s">
        <v>138</v>
      </c>
      <c r="B111" s="58">
        <f>IFERROR(__xludf.DUMMYFUNCTION("IMPORTRANGE(""https://docs.google.com/spreadsheets/d/1bozxp9FwhaCNzy-RRGPVPfVYTttO4PUGDdaFvbz-Ue0/edit?gid=1870218791#gid=1870218791"", ""Rev vs Mktg &amp; Mktg Mix!B"" &amp; ROW(A49))
"),2142.0)</f>
        <v>2142</v>
      </c>
      <c r="C111" s="54">
        <f>IFERROR(__xludf.DUMMYFUNCTION("IMPORTRANGE(""https://docs.google.com/spreadsheets/d/1bozxp9FwhaCNzy-RRGPVPfVYTttO4PUGDdaFvbz-Ue0/edit?gid=1870218791#gid=1870218791"", ""Rev vs Mktg &amp; Mktg Mix!C"" &amp; ROW(C49))
"),4415.0)</f>
        <v>4415</v>
      </c>
      <c r="D111" s="54">
        <f>IFERROR(__xludf.DUMMYFUNCTION("IMPORTRANGE(""https://docs.google.com/spreadsheets/d/1bozxp9FwhaCNzy-RRGPVPfVYTttO4PUGDdaFvbz-Ue0/edit?gid=1870218791#gid=1870218791"", ""Rev vs Mktg &amp; Mktg Mix!D"" &amp; ROW(D49))
"),2889.0)</f>
        <v>2889</v>
      </c>
      <c r="E111" s="54">
        <f>IFERROR(__xludf.DUMMYFUNCTION("IMPORTRANGE(""https://docs.google.com/spreadsheets/d/1bozxp9FwhaCNzy-RRGPVPfVYTttO4PUGDdaFvbz-Ue0/edit?gid=1870218791#gid=1870218791"", ""Rev vs Mktg &amp; Mktg Mix!E"" &amp; ROW(E49))
"),1651.0)</f>
        <v>1651</v>
      </c>
      <c r="F111" s="54">
        <f>IFERROR(__xludf.DUMMYFUNCTION("IMPORTRANGE(""https://docs.google.com/spreadsheets/d/1bozxp9FwhaCNzy-RRGPVPfVYTttO4PUGDdaFvbz-Ue0/edit?gid=1870218791#gid=1870218791"", ""Rev vs Mktg &amp; Mktg Mix!F"" &amp; ROW(F49))
"),395.0)</f>
        <v>395</v>
      </c>
      <c r="G111" s="54">
        <f>IFERROR(__xludf.DUMMYFUNCTION("IMPORTRANGE(""https://docs.google.com/spreadsheets/d/1bozxp9FwhaCNzy-RRGPVPfVYTttO4PUGDdaFvbz-Ue0/edit?gid=1870218791#gid=1870218791"", ""Rev vs Mktg &amp; Mktg Mix!G"" &amp; ROW(I49))
"),101.43)</f>
        <v>101.43</v>
      </c>
      <c r="H111" s="58">
        <f>IFERROR(__xludf.DUMMYFUNCTION("IMPORTRANGE(""https://docs.google.com/spreadsheets/d/1bozxp9FwhaCNzy-RRGPVPfVYTttO4PUGDdaFvbz-Ue0/edit?gid=1870218791#gid=1870218791"", ""Rev vs Mktg &amp; Mktg Mix!H"" &amp; ROW(H49))
"),185.24)</f>
        <v>185.24</v>
      </c>
      <c r="I111" s="54">
        <f>IFERROR(__xludf.DUMMYFUNCTION("IMPORTRANGE(""https://docs.google.com/spreadsheets/d/1bozxp9FwhaCNzy-RRGPVPfVYTttO4PUGDdaFvbz-Ue0/edit?gid=1870218791#gid=1870218791"", ""Rev vs Mktg &amp; Mktg Mix!I"" &amp; ROW(K49))
"),173.7)</f>
        <v>173.7</v>
      </c>
      <c r="J111" s="54">
        <f>IFERROR(__xludf.DUMMYFUNCTION("IMPORTRANGE(""https://docs.google.com/spreadsheets/d/1bozxp9FwhaCNzy-RRGPVPfVYTttO4PUGDdaFvbz-Ue0/edit?gid=1870218791#gid=1870218791"", ""Rev vs Mktg &amp; Mktg Mix!J"" &amp; ROW(J49))
"),202.887)</f>
        <v>202.887</v>
      </c>
      <c r="K111" s="61">
        <f>IFERROR(__xludf.DUMMYFUNCTION("IMPORTRANGE(""https://docs.google.com/spreadsheets/d/1bozxp9FwhaCNzy-RRGPVPfVYTttO4PUGDdaFvbz-Ue0/edit?gid=1870218791#gid=1870218791"", ""Rev vs Mktg &amp; Mktg Mix!K"" &amp; ROW(M49))*1000
"),19763.88235294118)</f>
        <v>19763.88235</v>
      </c>
      <c r="L111" s="54">
        <f>IFERROR(__xludf.DUMMYFUNCTION("IMPORTRANGE(""https://docs.google.com/spreadsheets/d/1bozxp9FwhaCNzy-RRGPVPfVYTttO4PUGDdaFvbz-Ue0/edit?gid=1870218791#gid=1870218791"", ""Rev vs Mktg &amp; Mktg Mix!L"" &amp; ROW(N49))
"),122.77286709029998)</f>
        <v>122.7728671</v>
      </c>
      <c r="M111" s="57">
        <f>IFERROR(__xludf.DUMMYFUNCTION("IMPORTRANGE(""https://docs.google.com/spreadsheets/d/1bozxp9FwhaCNzy-RRGPVPfVYTttO4PUGDdaFvbz-Ue0/edit?gid=1870218791#gid=1870218791"", ""Rev vs Mktg &amp; Mktg Mix!M"" &amp; ROW(M49))
"),54.2572157043)</f>
        <v>54.2572157</v>
      </c>
      <c r="N111" s="57">
        <f>IFERROR(__xludf.DUMMYFUNCTION("IMPORTRANGE(""https://docs.google.com/spreadsheets/d/1bozxp9FwhaCNzy-RRGPVPfVYTttO4PUGDdaFvbz-Ue0/edit?gid=1870218791#gid=1870218791"", ""Rev vs Mktg &amp; Mktg Mix!N"" &amp; ROW(N49))
"),8.968)</f>
        <v>8.968</v>
      </c>
      <c r="O111" s="57">
        <f>IFERROR(__xludf.DUMMYFUNCTION("IMPORTRANGE(""https://docs.google.com/spreadsheets/d/1bozxp9FwhaCNzy-RRGPVPfVYTttO4PUGDdaFvbz-Ue0/edit?gid=1870218791#gid=1870218791"", ""Rev vs Mktg &amp; Mktg Mix!O"" &amp; ROW(O49))
"),73.775)</f>
        <v>73.775</v>
      </c>
      <c r="P111" s="57">
        <f>IFERROR(__xludf.DUMMYFUNCTION("IMPORTRANGE(""https://docs.google.com/spreadsheets/d/1bozxp9FwhaCNzy-RRGPVPfVYTttO4PUGDdaFvbz-Ue0/edit?gid=1870218791#gid=1870218791"", ""Rev vs Mktg &amp; Mktg Mix!P"" &amp; ROW(P49))
"),19.5)</f>
        <v>19.5</v>
      </c>
      <c r="Q111" s="57"/>
      <c r="R111" s="57"/>
      <c r="S111" s="54">
        <f>IFERROR(__xludf.DUMMYFUNCTION("IMPORTRANGE(""https://docs.google.com/spreadsheets/d/1bozxp9FwhaCNzy-RRGPVPfVYTttO4PUGDdaFvbz-Ue0/edit?gid=1870218791#gid=1870218791"", ""Rev vs Mktg &amp; Mktg Mix!s"" &amp; ROW(S49))
"),86.24000000000001)</f>
        <v>86.24</v>
      </c>
      <c r="T111" s="60">
        <f>IFERROR(__xludf.DUMMYFUNCTION("IMPORTRANGE(""https://docs.google.com/spreadsheets/d/1bozxp9FwhaCNzy-RRGPVPfVYTttO4PUGDdaFvbz-Ue0/edit?gid=1870218791#gid=1870218791"", ""Rev vs Mktg &amp; Mktg Mix!T"" &amp; ROW(Y49))
"),16.15270588235294)</f>
        <v>16.15270588</v>
      </c>
      <c r="U111" s="60">
        <f>IFERROR(__xludf.DUMMYFUNCTION("IMPORTRANGE(""https://docs.google.com/spreadsheets/d/1bozxp9FwhaCNzy-RRGPVPfVYTttO4PUGDdaFvbz-Ue0/edit?gid=1870218791#gid=1870218791"", ""Rev vs Mktg &amp; Mktg Mix!u"" &amp; ROW(U49))
"),12.872)</f>
        <v>12.872</v>
      </c>
      <c r="V111" s="43"/>
      <c r="W111" s="43"/>
      <c r="X111" s="45">
        <f>VLOOKUP(VALUE(LEFT($A113, 4)), 'Raw Annual Revenue'!$A:X, 23, FALSE) / 4
</f>
        <v>0</v>
      </c>
      <c r="Y111" s="46"/>
      <c r="Z111" s="46"/>
      <c r="AA111" s="46"/>
      <c r="AB111" s="46"/>
      <c r="AC111" s="46"/>
    </row>
    <row r="112">
      <c r="A112" s="42" t="s">
        <v>139</v>
      </c>
      <c r="B112" s="58">
        <f>IFERROR(__xludf.DUMMYFUNCTION("IMPORTRANGE(""https://docs.google.com/spreadsheets/d/1bozxp9FwhaCNzy-RRGPVPfVYTttO4PUGDdaFvbz-Ue0/edit?gid=1870218791#gid=1870218791"", ""Rev vs Mktg &amp; Mktg Mix!B"" &amp; ROW(A50))
"),2748.0)</f>
        <v>2748</v>
      </c>
      <c r="C112" s="54">
        <f>IFERROR(__xludf.DUMMYFUNCTION("IMPORTRANGE(""https://docs.google.com/spreadsheets/d/1bozxp9FwhaCNzy-RRGPVPfVYTttO4PUGDdaFvbz-Ue0/edit?gid=1870218791#gid=1870218791"", ""Rev vs Mktg &amp; Mktg Mix!C"" &amp; ROW(C50))
"),5859.0)</f>
        <v>5859</v>
      </c>
      <c r="D112" s="54">
        <f>IFERROR(__xludf.DUMMYFUNCTION("IMPORTRANGE(""https://docs.google.com/spreadsheets/d/1bozxp9FwhaCNzy-RRGPVPfVYTttO4PUGDdaFvbz-Ue0/edit?gid=1870218791#gid=1870218791"", ""Rev vs Mktg &amp; Mktg Mix!D"" &amp; ROW(D50))
"),3558.0)</f>
        <v>3558</v>
      </c>
      <c r="E112" s="54">
        <f>IFERROR(__xludf.DUMMYFUNCTION("IMPORTRANGE(""https://docs.google.com/spreadsheets/d/1bozxp9FwhaCNzy-RRGPVPfVYTttO4PUGDdaFvbz-Ue0/edit?gid=1870218791#gid=1870218791"", ""Rev vs Mktg &amp; Mktg Mix!E"" &amp; ROW(E50))
"),1759.0)</f>
        <v>1759</v>
      </c>
      <c r="F112" s="54">
        <f>IFERROR(__xludf.DUMMYFUNCTION("IMPORTRANGE(""https://docs.google.com/spreadsheets/d/1bozxp9FwhaCNzy-RRGPVPfVYTttO4PUGDdaFvbz-Ue0/edit?gid=1870218791#gid=1870218791"", ""Rev vs Mktg &amp; Mktg Mix!F"" &amp; ROW(F50))
"),497.0)</f>
        <v>497</v>
      </c>
      <c r="G112" s="54">
        <f>IFERROR(__xludf.DUMMYFUNCTION("IMPORTRANGE(""https://docs.google.com/spreadsheets/d/1bozxp9FwhaCNzy-RRGPVPfVYTttO4PUGDdaFvbz-Ue0/edit?gid=1870218791#gid=1870218791"", ""Rev vs Mktg &amp; Mktg Mix!G"" &amp; ROW(I50))
"),118.557)</f>
        <v>118.557</v>
      </c>
      <c r="H112" s="58">
        <f>IFERROR(__xludf.DUMMYFUNCTION("IMPORTRANGE(""https://docs.google.com/spreadsheets/d/1bozxp9FwhaCNzy-RRGPVPfVYTttO4PUGDdaFvbz-Ue0/edit?gid=1870218791#gid=1870218791"", ""Rev vs Mktg &amp; Mktg Mix!H"" &amp; ROW(H50))
"),176.0)</f>
        <v>176</v>
      </c>
      <c r="I112" s="54">
        <f>IFERROR(__xludf.DUMMYFUNCTION("IMPORTRANGE(""https://docs.google.com/spreadsheets/d/1bozxp9FwhaCNzy-RRGPVPfVYTttO4PUGDdaFvbz-Ue0/edit?gid=1870218791#gid=1870218791"", ""Rev vs Mktg &amp; Mktg Mix!I"" &amp; ROW(K50))
"),185.047)</f>
        <v>185.047</v>
      </c>
      <c r="J112" s="54">
        <f>IFERROR(__xludf.DUMMYFUNCTION("IMPORTRANGE(""https://docs.google.com/spreadsheets/d/1bozxp9FwhaCNzy-RRGPVPfVYTttO4PUGDdaFvbz-Ue0/edit?gid=1870218791#gid=1870218791"", ""Rev vs Mktg &amp; Mktg Mix!J"" &amp; ROW(J50))
"),254.519)</f>
        <v>254.519</v>
      </c>
      <c r="K112" s="46">
        <f>IFERROR(__xludf.DUMMYFUNCTION("IMPORTRANGE(""https://docs.google.com/spreadsheets/d/1bozxp9FwhaCNzy-RRGPVPfVYTttO4PUGDdaFvbz-Ue0/edit?gid=1870218791#gid=1870218791"", ""Rev vs Mktg &amp; Mktg Mix!K"" &amp; ROW(M50))*1000
"),21680.0)</f>
        <v>21680</v>
      </c>
      <c r="L112" s="54">
        <f>IFERROR(__xludf.DUMMYFUNCTION("IMPORTRANGE(""https://docs.google.com/spreadsheets/d/1bozxp9FwhaCNzy-RRGPVPfVYTttO4PUGDdaFvbz-Ue0/edit?gid=1870218791#gid=1870218791"", ""Rev vs Mktg &amp; Mktg Mix!L"" &amp; ROW(N50))
"),115.72963586309999)</f>
        <v>115.7296359</v>
      </c>
      <c r="M112" s="57">
        <f>IFERROR(__xludf.DUMMYFUNCTION("IMPORTRANGE(""https://docs.google.com/spreadsheets/d/1bozxp9FwhaCNzy-RRGPVPfVYTttO4PUGDdaFvbz-Ue0/edit?gid=1870218791#gid=1870218791"", ""Rev vs Mktg &amp; Mktg Mix!M"" &amp; ROW(M50))
"),86.4108)</f>
        <v>86.4108</v>
      </c>
      <c r="N112" s="57">
        <f>IFERROR(__xludf.DUMMYFUNCTION("IMPORTRANGE(""https://docs.google.com/spreadsheets/d/1bozxp9FwhaCNzy-RRGPVPfVYTttO4PUGDdaFvbz-Ue0/edit?gid=1870218791#gid=1870218791"", ""Rev vs Mktg &amp; Mktg Mix!N"" &amp; ROW(N50))
"),12.682)</f>
        <v>12.682</v>
      </c>
      <c r="O112" s="57" t="str">
        <f>IFERROR(__xludf.DUMMYFUNCTION("IMPORTRANGE(""https://docs.google.com/spreadsheets/d/1bozxp9FwhaCNzy-RRGPVPfVYTttO4PUGDdaFvbz-Ue0/edit?gid=1870218791#gid=1870218791"", ""Rev vs Mktg &amp; Mktg Mix!O"" &amp; ROW(O50))
"),"")</f>
        <v/>
      </c>
      <c r="P112" s="57">
        <f>IFERROR(__xludf.DUMMYFUNCTION("IMPORTRANGE(""https://docs.google.com/spreadsheets/d/1bozxp9FwhaCNzy-RRGPVPfVYTttO4PUGDdaFvbz-Ue0/edit?gid=1870218791#gid=1870218791"", ""Rev vs Mktg &amp; Mktg Mix!P"" &amp; ROW(P50))
"),20.1825)</f>
        <v>20.1825</v>
      </c>
      <c r="Q112" s="57"/>
      <c r="R112" s="57"/>
      <c r="S112" s="54">
        <f>IFERROR(__xludf.DUMMYFUNCTION("IMPORTRANGE(""https://docs.google.com/spreadsheets/d/1bozxp9FwhaCNzy-RRGPVPfVYTttO4PUGDdaFvbz-Ue0/edit?gid=1870218791#gid=1870218791"", ""Rev vs Mktg &amp; Mktg Mix!s"" &amp; ROW(S50))
"),94.82)</f>
        <v>94.82</v>
      </c>
      <c r="T112" s="60">
        <f>IFERROR(__xludf.DUMMYFUNCTION("IMPORTRANGE(""https://docs.google.com/spreadsheets/d/1bozxp9FwhaCNzy-RRGPVPfVYTttO4PUGDdaFvbz-Ue0/edit?gid=1870218791#gid=1870218791"", ""Rev vs Mktg &amp; Mktg Mix!T"" &amp; ROW(Y50))
"),12.898470588235293)</f>
        <v>12.89847059</v>
      </c>
      <c r="U112" s="60">
        <f>IFERROR(__xludf.DUMMYFUNCTION("IMPORTRANGE(""https://docs.google.com/spreadsheets/d/1bozxp9FwhaCNzy-RRGPVPfVYTttO4PUGDdaFvbz-Ue0/edit?gid=1870218791#gid=1870218791"", ""Rev vs Mktg &amp; Mktg Mix!u"" &amp; ROW(U50))
"),12.609)</f>
        <v>12.609</v>
      </c>
      <c r="V112" s="43"/>
      <c r="W112" s="43"/>
      <c r="X112" s="45">
        <f>VLOOKUP(VALUE(LEFT($A114, 4)), 'Raw Annual Revenue'!$A:X, 23, FALSE) / 4
</f>
        <v>0</v>
      </c>
      <c r="Y112" s="46"/>
      <c r="Z112" s="46"/>
      <c r="AA112" s="46"/>
      <c r="AB112" s="46"/>
      <c r="AC112" s="46"/>
    </row>
    <row r="113">
      <c r="A113" s="42" t="s">
        <v>140</v>
      </c>
      <c r="B113" s="58">
        <f>IFERROR(__xludf.DUMMYFUNCTION("IMPORTRANGE(""https://docs.google.com/spreadsheets/d/1bozxp9FwhaCNzy-RRGPVPfVYTttO4PUGDdaFvbz-Ue0/edit?gid=1870218791#gid=1870218791"", ""Rev vs Mktg &amp; Mktg Mix!B"" &amp; ROW(A51))
"),3732.0)</f>
        <v>3732</v>
      </c>
      <c r="C113" s="54">
        <f>IFERROR(__xludf.DUMMYFUNCTION("IMPORTRANGE(""https://docs.google.com/spreadsheets/d/1bozxp9FwhaCNzy-RRGPVPfVYTttO4PUGDdaFvbz-Ue0/edit?gid=1870218791#gid=1870218791"", ""Rev vs Mktg &amp; Mktg Mix!C"" &amp; ROW(C51))
"),7994.0)</f>
        <v>7994</v>
      </c>
      <c r="D113" s="54">
        <f>IFERROR(__xludf.DUMMYFUNCTION("IMPORTRANGE(""https://docs.google.com/spreadsheets/d/1bozxp9FwhaCNzy-RRGPVPfVYTttO4PUGDdaFvbz-Ue0/edit?gid=1870218791#gid=1870218791"", ""Rev vs Mktg &amp; Mktg Mix!D"" &amp; ROW(D51))
"),4060.0)</f>
        <v>4060</v>
      </c>
      <c r="E113" s="54">
        <f>IFERROR(__xludf.DUMMYFUNCTION("IMPORTRANGE(""https://docs.google.com/spreadsheets/d/1bozxp9FwhaCNzy-RRGPVPfVYTttO4PUGDdaFvbz-Ue0/edit?gid=1870218791#gid=1870218791"", ""Rev vs Mktg &amp; Mktg Mix!E"" &amp; ROW(E51))
"),2265.0)</f>
        <v>2265</v>
      </c>
      <c r="F113" s="54">
        <f>IFERROR(__xludf.DUMMYFUNCTION("IMPORTRANGE(""https://docs.google.com/spreadsheets/d/1bozxp9FwhaCNzy-RRGPVPfVYTttO4PUGDdaFvbz-Ue0/edit?gid=1870218791#gid=1870218791"", ""Rev vs Mktg &amp; Mktg Mix!F"" &amp; ROW(F51))
"),532.0)</f>
        <v>532</v>
      </c>
      <c r="G113" s="54">
        <f>IFERROR(__xludf.DUMMYFUNCTION("IMPORTRANGE(""https://docs.google.com/spreadsheets/d/1bozxp9FwhaCNzy-RRGPVPfVYTttO4PUGDdaFvbz-Ue0/edit?gid=1870218791#gid=1870218791"", ""Rev vs Mktg &amp; Mktg Mix!G"" &amp; ROW(I51))
"),146.087)</f>
        <v>146.087</v>
      </c>
      <c r="H113" s="58">
        <f>IFERROR(__xludf.DUMMYFUNCTION("IMPORTRANGE(""https://docs.google.com/spreadsheets/d/1bozxp9FwhaCNzy-RRGPVPfVYTttO4PUGDdaFvbz-Ue0/edit?gid=1870218791#gid=1870218791"", ""Rev vs Mktg &amp; Mktg Mix!H"" &amp; ROW(H51))
"),184.58000000000004)</f>
        <v>184.58</v>
      </c>
      <c r="I113" s="54">
        <f>IFERROR(__xludf.DUMMYFUNCTION("IMPORTRANGE(""https://docs.google.com/spreadsheets/d/1bozxp9FwhaCNzy-RRGPVPfVYTttO4PUGDdaFvbz-Ue0/edit?gid=1870218791#gid=1870218791"", ""Rev vs Mktg &amp; Mktg Mix!I"" &amp; ROW(K51))
"),193.9)</f>
        <v>193.9</v>
      </c>
      <c r="J113" s="54">
        <f>IFERROR(__xludf.DUMMYFUNCTION("IMPORTRANGE(""https://docs.google.com/spreadsheets/d/1bozxp9FwhaCNzy-RRGPVPfVYTttO4PUGDdaFvbz-Ue0/edit?gid=1870218791#gid=1870218791"", ""Rev vs Mktg &amp; Mktg Mix!J"" &amp; ROW(J51))
"),210.993)</f>
        <v>210.993</v>
      </c>
      <c r="K113" s="46">
        <f>IFERROR(__xludf.DUMMYFUNCTION("IMPORTRANGE(""https://docs.google.com/spreadsheets/d/1bozxp9FwhaCNzy-RRGPVPfVYTttO4PUGDdaFvbz-Ue0/edit?gid=1870218791#gid=1870218791"", ""Rev vs Mktg &amp; Mktg Mix!K"" &amp; ROW(M51))*1000
"),24808.823529411766)</f>
        <v>24808.82353</v>
      </c>
      <c r="L113" s="54">
        <f>IFERROR(__xludf.DUMMYFUNCTION("IMPORTRANGE(""https://docs.google.com/spreadsheets/d/1bozxp9FwhaCNzy-RRGPVPfVYTttO4PUGDdaFvbz-Ue0/edit?gid=1870218791#gid=1870218791"", ""Rev vs Mktg &amp; Mktg Mix!L"" &amp; ROW(N51))
"),117.8816667)</f>
        <v>117.8816667</v>
      </c>
      <c r="M113" s="57">
        <f>IFERROR(__xludf.DUMMYFUNCTION("IMPORTRANGE(""https://docs.google.com/spreadsheets/d/1bozxp9FwhaCNzy-RRGPVPfVYTttO4PUGDdaFvbz-Ue0/edit?gid=1870218791#gid=1870218791"", ""Rev vs Mktg &amp; Mktg Mix!M"" &amp; ROW(M51))
"),56.187881274)</f>
        <v>56.18788127</v>
      </c>
      <c r="N113" s="57">
        <f>IFERROR(__xludf.DUMMYFUNCTION("IMPORTRANGE(""https://docs.google.com/spreadsheets/d/1bozxp9FwhaCNzy-RRGPVPfVYTttO4PUGDdaFvbz-Ue0/edit?gid=1870218791#gid=1870218791"", ""Rev vs Mktg &amp; Mktg Mix!N"" &amp; ROW(N51))
"),14.224)</f>
        <v>14.224</v>
      </c>
      <c r="O113" s="57" t="str">
        <f>IFERROR(__xludf.DUMMYFUNCTION("IMPORTRANGE(""https://docs.google.com/spreadsheets/d/1bozxp9FwhaCNzy-RRGPVPfVYTttO4PUGDdaFvbz-Ue0/edit?gid=1870218791#gid=1870218791"", ""Rev vs Mktg &amp; Mktg Mix!O"" &amp; ROW(O51))
"),"")</f>
        <v/>
      </c>
      <c r="P113" s="57">
        <f>IFERROR(__xludf.DUMMYFUNCTION("IMPORTRANGE(""https://docs.google.com/spreadsheets/d/1bozxp9FwhaCNzy-RRGPVPfVYTttO4PUGDdaFvbz-Ue0/edit?gid=1870218791#gid=1870218791"", ""Rev vs Mktg &amp; Mktg Mix!P"" &amp; ROW(P51))
"),20.1825)</f>
        <v>20.1825</v>
      </c>
      <c r="Q113" s="43"/>
      <c r="R113" s="43"/>
      <c r="S113" s="54">
        <f>IFERROR(__xludf.DUMMYFUNCTION("IMPORTRANGE(""https://docs.google.com/spreadsheets/d/1bozxp9FwhaCNzy-RRGPVPfVYTttO4PUGDdaFvbz-Ue0/edit?gid=1870218791#gid=1870218791"", ""Rev vs Mktg &amp; Mktg Mix!s"" &amp; ROW(S51))
"),95.37)</f>
        <v>95.37</v>
      </c>
      <c r="T113" s="60">
        <f>IFERROR(__xludf.DUMMYFUNCTION("IMPORTRANGE(""https://docs.google.com/spreadsheets/d/1bozxp9FwhaCNzy-RRGPVPfVYTttO4PUGDdaFvbz-Ue0/edit?gid=1870218791#gid=1870218791"", ""Rev vs Mktg &amp; Mktg Mix!T"" &amp; ROW(T51))
"),12.844470588235295)</f>
        <v>12.84447059</v>
      </c>
      <c r="U113" s="60">
        <f>IFERROR(__xludf.DUMMYFUNCTION("IMPORTRANGE(""https://docs.google.com/spreadsheets/d/1bozxp9FwhaCNzy-RRGPVPfVYTttO4PUGDdaFvbz-Ue0/edit?gid=1870218791#gid=1870218791"", ""Rev vs Mktg &amp; Mktg Mix!u"" &amp; ROW(U51))
"),28.216)</f>
        <v>28.216</v>
      </c>
      <c r="V113" s="43"/>
      <c r="W113" s="43"/>
      <c r="X113" s="45"/>
      <c r="Y113" s="46"/>
      <c r="Z113" s="46"/>
      <c r="AA113" s="46"/>
      <c r="AB113" s="46"/>
      <c r="AC113" s="46"/>
    </row>
    <row r="114">
      <c r="A114" s="42" t="s">
        <v>141</v>
      </c>
      <c r="B114" s="58">
        <f>IFERROR(__xludf.DUMMYFUNCTION("IMPORTRANGE(""https://docs.google.com/spreadsheets/d/1bozxp9FwhaCNzy-RRGPVPfVYTttO4PUGDdaFvbz-Ue0/edit?gid=1870218791#gid=1870218791"", ""Rev vs Mktg &amp; Mktg Mix!B"" &amp; ROW(A52))
"),2480.0)</f>
        <v>2480</v>
      </c>
      <c r="C114" s="54">
        <f>IFERROR(__xludf.DUMMYFUNCTION("IMPORTRANGE(""https://docs.google.com/spreadsheets/d/1bozxp9FwhaCNzy-RRGPVPfVYTttO4PUGDdaFvbz-Ue0/edit?gid=1870218791#gid=1870218791"", ""Rev vs Mktg &amp; Mktg Mix!C"" &amp; ROW(C52))
"),5471.0)</f>
        <v>5471</v>
      </c>
      <c r="D114" s="54">
        <f>IFERROR(__xludf.DUMMYFUNCTION("IMPORTRANGE(""https://docs.google.com/spreadsheets/d/1bozxp9FwhaCNzy-RRGPVPfVYTttO4PUGDdaFvbz-Ue0/edit?gid=1870218791#gid=1870218791"", ""Rev vs Mktg &amp; Mktg Mix!D"" &amp; ROW(D52))
"),3184.0)</f>
        <v>3184</v>
      </c>
      <c r="E114" s="54">
        <f>IFERROR(__xludf.DUMMYFUNCTION("IMPORTRANGE(""https://docs.google.com/spreadsheets/d/1bozxp9FwhaCNzy-RRGPVPfVYTttO4PUGDdaFvbz-Ue0/edit?gid=1870218791#gid=1870218791"", ""Rev vs Mktg &amp; Mktg Mix!E"" &amp; ROW(E52))
"),1749.0)</f>
        <v>1749</v>
      </c>
      <c r="F114" s="54">
        <f>IFERROR(__xludf.DUMMYFUNCTION("IMPORTRANGE(""https://docs.google.com/spreadsheets/d/1bozxp9FwhaCNzy-RRGPVPfVYTttO4PUGDdaFvbz-Ue0/edit?gid=1870218791#gid=1870218791"", ""Rev vs Mktg &amp; Mktg Mix!F"" &amp; ROW(F52))
"),411.0)</f>
        <v>411</v>
      </c>
      <c r="G114" s="54">
        <f>IFERROR(__xludf.DUMMYFUNCTION("IMPORTRANGE(""https://docs.google.com/spreadsheets/d/1bozxp9FwhaCNzy-RRGPVPfVYTttO4PUGDdaFvbz-Ue0/edit?gid=1870218791#gid=1870218791"", ""Rev vs Mktg &amp; Mktg Mix!G"" &amp; ROW(I52))
"),94.775)</f>
        <v>94.775</v>
      </c>
      <c r="H114" s="58">
        <f>IFERROR(__xludf.DUMMYFUNCTION("IMPORTRANGE(""https://docs.google.com/spreadsheets/d/1bozxp9FwhaCNzy-RRGPVPfVYTttO4PUGDdaFvbz-Ue0/edit?gid=1870218791#gid=1870218791"", ""Rev vs Mktg &amp; Mktg Mix!H"" &amp; ROW(H52))
"),178.31)</f>
        <v>178.31</v>
      </c>
      <c r="I114" s="55" t="str">
        <f>IFERROR(__xludf.DUMMYFUNCTION("IMPORTRANGE(""https://docs.google.com/spreadsheets/d/1bozxp9FwhaCNzy-RRGPVPfVYTttO4PUGDdaFvbz-Ue0/edit?gid=1870218791#gid=1870218791"", ""Rev vs Mktg &amp; Mktg Mix!I"" &amp; ROW(K52))
"),"")</f>
        <v/>
      </c>
      <c r="J114" s="54">
        <f>IFERROR(__xludf.DUMMYFUNCTION("IMPORTRANGE(""https://docs.google.com/spreadsheets/d/1bozxp9FwhaCNzy-RRGPVPfVYTttO4PUGDdaFvbz-Ue0/edit?gid=1870218791#gid=1870218791"", ""Rev vs Mktg &amp; Mktg Mix!J"" &amp; ROW(J52))
"),267.362)</f>
        <v>267.362</v>
      </c>
      <c r="K114" s="46">
        <f>IFERROR(__xludf.DUMMYFUNCTION("IMPORTRANGE(""https://docs.google.com/spreadsheets/d/1bozxp9FwhaCNzy-RRGPVPfVYTttO4PUGDdaFvbz-Ue0/edit?gid=1870218791#gid=1870218791"", ""Rev vs Mktg &amp; Mktg Mix!K"" &amp; ROW(M52))*1000
"),29057.88235294118)</f>
        <v>29057.88235</v>
      </c>
      <c r="L114" s="55" t="str">
        <f>IFERROR(__xludf.DUMMYFUNCTION("IMPORTRANGE(""https://docs.google.com/spreadsheets/d/1bozxp9FwhaCNzy-RRGPVPfVYTttO4PUGDdaFvbz-Ue0/edit?gid=1870218791#gid=1870218791"", ""Rev vs Mktg &amp; Mktg Mix!L"" &amp; ROW(N52))
"),"")</f>
        <v/>
      </c>
      <c r="M114" s="57" t="str">
        <f>IFERROR(__xludf.DUMMYFUNCTION("IMPORTRANGE(""https://docs.google.com/spreadsheets/d/1bozxp9FwhaCNzy-RRGPVPfVYTttO4PUGDdaFvbz-Ue0/edit?gid=1870218791#gid=1870218791"", ""Rev vs Mktg &amp; Mktg Mix!M"" &amp; ROW(M52))
"),"")</f>
        <v/>
      </c>
      <c r="N114" s="57">
        <f>IFERROR(__xludf.DUMMYFUNCTION("IMPORTRANGE(""https://docs.google.com/spreadsheets/d/1bozxp9FwhaCNzy-RRGPVPfVYTttO4PUGDdaFvbz-Ue0/edit?gid=1870218791#gid=1870218791"", ""Rev vs Mktg &amp; Mktg Mix!N"" &amp; ROW(N52))
"),13.857)</f>
        <v>13.857</v>
      </c>
      <c r="O114" s="44"/>
      <c r="P114" s="43"/>
      <c r="Q114" s="43"/>
      <c r="R114" s="43"/>
      <c r="S114" s="54">
        <f>IFERROR(__xludf.DUMMYFUNCTION("IMPORTRANGE(""https://docs.google.com/spreadsheets/d/1bozxp9FwhaCNzy-RRGPVPfVYTttO4PUGDdaFvbz-Ue0/edit?gid=1870218791#gid=1870218791"", ""Rev vs Mktg &amp; Mktg Mix!s"" &amp; ROW(S52))
"),68.75)</f>
        <v>68.75</v>
      </c>
      <c r="T114" s="60">
        <f>IFERROR(__xludf.DUMMYFUNCTION("IMPORTRANGE(""https://docs.google.com/spreadsheets/d/1bozxp9FwhaCNzy-RRGPVPfVYTttO4PUGDdaFvbz-Ue0/edit?gid=1870218791#gid=1870218791"", ""Rev vs Mktg &amp; Mktg Mix!T"" &amp; ROW(Y52))
"),13.00294117647059)</f>
        <v>13.00294118</v>
      </c>
      <c r="U114" s="60">
        <f>IFERROR(__xludf.DUMMYFUNCTION("IMPORTRANGE(""https://docs.google.com/spreadsheets/d/1bozxp9FwhaCNzy-RRGPVPfVYTttO4PUGDdaFvbz-Ue0/edit?gid=1870218791#gid=1870218791"", ""Rev vs Mktg &amp; Mktg Mix!u"" &amp; ROW(U52))
"),27.478)</f>
        <v>27.478</v>
      </c>
      <c r="V114" s="43"/>
      <c r="W114" s="43"/>
      <c r="X114" s="45"/>
      <c r="Y114" s="46"/>
      <c r="Z114" s="46"/>
      <c r="AA114" s="46"/>
      <c r="AB114" s="46"/>
      <c r="AC114" s="46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38"/>
  </cols>
  <sheetData>
    <row r="1" ht="72.0" customHeight="1">
      <c r="A1" s="2"/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4" t="s">
        <v>7</v>
      </c>
      <c r="I1" s="2" t="s">
        <v>8</v>
      </c>
      <c r="J1" s="4" t="s">
        <v>9</v>
      </c>
      <c r="K1" s="5" t="s">
        <v>10</v>
      </c>
      <c r="L1" s="3" t="s">
        <v>11</v>
      </c>
      <c r="M1" s="6" t="s">
        <v>12</v>
      </c>
      <c r="N1" s="39" t="s">
        <v>13</v>
      </c>
      <c r="O1" s="7" t="s">
        <v>14</v>
      </c>
      <c r="P1" s="6" t="s">
        <v>15</v>
      </c>
      <c r="Q1" s="8" t="s">
        <v>16</v>
      </c>
      <c r="R1" s="8" t="s">
        <v>17</v>
      </c>
      <c r="S1" s="7" t="s">
        <v>18</v>
      </c>
      <c r="T1" s="9" t="s">
        <v>19</v>
      </c>
      <c r="U1" s="10" t="s">
        <v>20</v>
      </c>
      <c r="V1" s="7" t="s">
        <v>21</v>
      </c>
      <c r="W1" s="7" t="s">
        <v>22</v>
      </c>
      <c r="X1" s="18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43"/>
    </row>
    <row r="2">
      <c r="A2" s="42" t="s">
        <v>29</v>
      </c>
      <c r="B2" s="62"/>
      <c r="C2" s="62"/>
      <c r="D2" s="62"/>
      <c r="E2" s="63" t="str">
        <f>iferror('Quarterly Revenue&amp;EBITDA'!E2/#REF! - 1, "")</f>
        <v/>
      </c>
      <c r="F2" s="63" t="str">
        <f>iferror('Quarterly Revenue&amp;EBITDA'!F2/#REF! - 1, "")</f>
        <v/>
      </c>
      <c r="G2" s="63" t="str">
        <f>iferror('Quarterly Revenue&amp;EBITDA'!G2/#REF! - 1, "")</f>
        <v/>
      </c>
      <c r="H2" s="63" t="str">
        <f>iferror('Quarterly Revenue&amp;EBITDA'!H2/#REF! - 1, "")</f>
        <v/>
      </c>
      <c r="I2" s="63" t="str">
        <f>iferror('Quarterly Revenue&amp;EBITDA'!I2/#REF! - 1, "")</f>
        <v/>
      </c>
      <c r="J2" s="63" t="str">
        <f>iferror('Quarterly Revenue&amp;EBITDA'!J2/#REF! - 1, "")</f>
        <v/>
      </c>
      <c r="K2" s="63" t="str">
        <f>iferror('Quarterly Revenue&amp;EBITDA'!K2/#REF! - 1, "")</f>
        <v/>
      </c>
      <c r="L2" s="63" t="str">
        <f>iferror('Quarterly Revenue&amp;EBITDA'!L2/#REF! - 1, "")</f>
        <v/>
      </c>
      <c r="M2" s="63" t="str">
        <f>iferror('Quarterly Revenue&amp;EBITDA'!M2/#REF! - 1, "")</f>
        <v/>
      </c>
      <c r="N2" s="63" t="str">
        <f>iferror('Quarterly Revenue&amp;EBITDA'!N2/#REF! - 1, "")</f>
        <v/>
      </c>
      <c r="O2" s="63" t="str">
        <f>iferror('Quarterly Revenue&amp;EBITDA'!O2/#REF! - 1, "")</f>
        <v/>
      </c>
      <c r="P2" s="63" t="str">
        <f>iferror('Quarterly Revenue&amp;EBITDA'!P2/#REF! - 1, "")</f>
        <v/>
      </c>
      <c r="Q2" s="63" t="str">
        <f>iferror('Quarterly Revenue&amp;EBITDA'!Q2/#REF! - 1, "")</f>
        <v/>
      </c>
      <c r="R2" s="63"/>
      <c r="S2" s="63" t="str">
        <f>iferror('Quarterly Revenue&amp;EBITDA'!S2/#REF! - 1, "")</f>
        <v/>
      </c>
      <c r="T2" s="63" t="str">
        <f>iferror('Quarterly Revenue&amp;EBITDA'!T2/#REF! - 1, "")</f>
        <v/>
      </c>
      <c r="U2" s="63" t="str">
        <f>iferror('Quarterly Revenue&amp;EBITDA'!U2/#REF! - 1, "")</f>
        <v/>
      </c>
      <c r="V2" s="63"/>
      <c r="W2" s="63"/>
      <c r="X2" s="62"/>
      <c r="Y2" s="43"/>
      <c r="Z2" s="43"/>
      <c r="AA2" s="43"/>
      <c r="AB2" s="43"/>
      <c r="AC2" s="43"/>
      <c r="AD2" s="43"/>
    </row>
    <row r="3">
      <c r="A3" s="42" t="s">
        <v>30</v>
      </c>
      <c r="B3" s="62"/>
      <c r="C3" s="62"/>
      <c r="D3" s="63" t="str">
        <f>iferror('Quarterly Revenue&amp;EBITDA'!D3/#REF! - 1, "")</f>
        <v/>
      </c>
      <c r="E3" s="63" t="str">
        <f>iferror('Quarterly Revenue&amp;EBITDA'!E3/#REF! - 1, "")</f>
        <v/>
      </c>
      <c r="F3" s="63" t="str">
        <f>iferror('Quarterly Revenue&amp;EBITDA'!F3/#REF! - 1, "")</f>
        <v/>
      </c>
      <c r="G3" s="63" t="str">
        <f>iferror('Quarterly Revenue&amp;EBITDA'!G3/#REF! - 1, "")</f>
        <v/>
      </c>
      <c r="H3" s="63" t="str">
        <f>iferror('Quarterly Revenue&amp;EBITDA'!H3/#REF! - 1, "")</f>
        <v/>
      </c>
      <c r="I3" s="63" t="str">
        <f>iferror('Quarterly Revenue&amp;EBITDA'!I3/#REF! - 1, "")</f>
        <v/>
      </c>
      <c r="J3" s="63" t="str">
        <f>iferror('Quarterly Revenue&amp;EBITDA'!J3/#REF! - 1, "")</f>
        <v/>
      </c>
      <c r="K3" s="63" t="str">
        <f>iferror('Quarterly Revenue&amp;EBITDA'!K3/#REF! - 1, "")</f>
        <v/>
      </c>
      <c r="L3" s="63" t="str">
        <f>iferror('Quarterly Revenue&amp;EBITDA'!L3/#REF! - 1, "")</f>
        <v/>
      </c>
      <c r="M3" s="63" t="str">
        <f>iferror('Quarterly Revenue&amp;EBITDA'!M3/#REF! - 1, "")</f>
        <v/>
      </c>
      <c r="N3" s="63" t="str">
        <f>iferror('Quarterly Revenue&amp;EBITDA'!N3/#REF! - 1, "")</f>
        <v/>
      </c>
      <c r="O3" s="63" t="str">
        <f>iferror('Quarterly Revenue&amp;EBITDA'!O3/#REF! - 1, "")</f>
        <v/>
      </c>
      <c r="P3" s="63" t="str">
        <f>iferror('Quarterly Revenue&amp;EBITDA'!P3/#REF! - 1, "")</f>
        <v/>
      </c>
      <c r="Q3" s="63" t="str">
        <f>iferror('Quarterly Revenue&amp;EBITDA'!Q3/#REF! - 1, "")</f>
        <v/>
      </c>
      <c r="R3" s="63"/>
      <c r="S3" s="63" t="str">
        <f>iferror('Quarterly Revenue&amp;EBITDA'!S3/#REF! - 1, "")</f>
        <v/>
      </c>
      <c r="T3" s="63" t="str">
        <f>iferror('Quarterly Revenue&amp;EBITDA'!T3/#REF! - 1, "")</f>
        <v/>
      </c>
      <c r="U3" s="63" t="str">
        <f>iferror('Quarterly Revenue&amp;EBITDA'!U3/#REF! - 1, "")</f>
        <v/>
      </c>
      <c r="V3" s="63" t="str">
        <f>iferror('Quarterly Revenue&amp;EBITDA'!V3/#REF! - 1, "")</f>
        <v/>
      </c>
      <c r="W3" s="63" t="str">
        <f>iferror('Quarterly Revenue&amp;EBITDA'!W3/#REF! - 1, "")</f>
        <v/>
      </c>
      <c r="X3" s="62"/>
      <c r="Y3" s="43"/>
      <c r="Z3" s="43"/>
      <c r="AA3" s="43"/>
      <c r="AB3" s="43"/>
      <c r="AC3" s="43"/>
      <c r="AD3" s="43"/>
    </row>
    <row r="4">
      <c r="A4" s="42" t="s">
        <v>31</v>
      </c>
      <c r="B4" s="62"/>
      <c r="C4" s="62"/>
      <c r="D4" s="63" t="str">
        <f>iferror('Quarterly Revenue&amp;EBITDA'!D4/#REF! - 1, "")</f>
        <v/>
      </c>
      <c r="E4" s="63" t="str">
        <f>iferror('Quarterly Revenue&amp;EBITDA'!E4/#REF! - 1, "")</f>
        <v/>
      </c>
      <c r="F4" s="63" t="str">
        <f>iferror('Quarterly Revenue&amp;EBITDA'!F4/#REF! - 1, "")</f>
        <v/>
      </c>
      <c r="G4" s="63" t="str">
        <f>iferror('Quarterly Revenue&amp;EBITDA'!G4/#REF! - 1, "")</f>
        <v/>
      </c>
      <c r="H4" s="63" t="str">
        <f>iferror('Quarterly Revenue&amp;EBITDA'!H4/#REF! - 1, "")</f>
        <v/>
      </c>
      <c r="I4" s="63" t="str">
        <f>iferror('Quarterly Revenue&amp;EBITDA'!I4/#REF! - 1, "")</f>
        <v/>
      </c>
      <c r="J4" s="63" t="str">
        <f>iferror('Quarterly Revenue&amp;EBITDA'!J4/#REF! - 1, "")</f>
        <v/>
      </c>
      <c r="K4" s="63" t="str">
        <f>iferror('Quarterly Revenue&amp;EBITDA'!K4/#REF! - 1, "")</f>
        <v/>
      </c>
      <c r="L4" s="63" t="str">
        <f>iferror('Quarterly Revenue&amp;EBITDA'!L4/#REF! - 1, "")</f>
        <v/>
      </c>
      <c r="M4" s="63" t="str">
        <f>iferror('Quarterly Revenue&amp;EBITDA'!M4/#REF! - 1, "")</f>
        <v/>
      </c>
      <c r="N4" s="63" t="str">
        <f>iferror('Quarterly Revenue&amp;EBITDA'!N4/#REF! - 1, "")</f>
        <v/>
      </c>
      <c r="O4" s="63" t="str">
        <f>iferror('Quarterly Revenue&amp;EBITDA'!O4/#REF! - 1, "")</f>
        <v/>
      </c>
      <c r="P4" s="63" t="str">
        <f>iferror('Quarterly Revenue&amp;EBITDA'!P4/#REF! - 1, "")</f>
        <v/>
      </c>
      <c r="Q4" s="63" t="str">
        <f>iferror('Quarterly Revenue&amp;EBITDA'!Q4/#REF! - 1, "")</f>
        <v/>
      </c>
      <c r="R4" s="63"/>
      <c r="S4" s="63" t="str">
        <f>iferror('Quarterly Revenue&amp;EBITDA'!S4/#REF! - 1, "")</f>
        <v/>
      </c>
      <c r="T4" s="63" t="str">
        <f>iferror('Quarterly Revenue&amp;EBITDA'!T4/#REF! - 1, "")</f>
        <v/>
      </c>
      <c r="U4" s="63" t="str">
        <f>iferror('Quarterly Revenue&amp;EBITDA'!U4/#REF! - 1, "")</f>
        <v/>
      </c>
      <c r="V4" s="63" t="str">
        <f>iferror('Quarterly Revenue&amp;EBITDA'!V4/#REF! - 1, "")</f>
        <v/>
      </c>
      <c r="W4" s="63" t="str">
        <f>iferror('Quarterly Revenue&amp;EBITDA'!W4/#REF! - 1, "")</f>
        <v/>
      </c>
      <c r="X4" s="62"/>
      <c r="Y4" s="43"/>
      <c r="Z4" s="43"/>
      <c r="AA4" s="43"/>
      <c r="AB4" s="43"/>
      <c r="AC4" s="43"/>
      <c r="AD4" s="43"/>
    </row>
    <row r="5">
      <c r="A5" s="42" t="s">
        <v>32</v>
      </c>
      <c r="B5" s="62"/>
      <c r="C5" s="62"/>
      <c r="D5" s="63" t="str">
        <f>iferror('Quarterly Revenue&amp;EBITDA'!D5/'Quarterly Revenue&amp;EBITDA'!D1 - 1, "")</f>
        <v/>
      </c>
      <c r="E5" s="63" t="str">
        <f>iferror('Quarterly Revenue&amp;EBITDA'!E5/'Quarterly Revenue&amp;EBITDA'!E1 - 1, "")</f>
        <v/>
      </c>
      <c r="F5" s="63" t="str">
        <f>iferror('Quarterly Revenue&amp;EBITDA'!F5/'Quarterly Revenue&amp;EBITDA'!F1 - 1, "")</f>
        <v/>
      </c>
      <c r="G5" s="63" t="str">
        <f>iferror('Quarterly Revenue&amp;EBITDA'!G5/'Quarterly Revenue&amp;EBITDA'!G1 - 1, "")</f>
        <v/>
      </c>
      <c r="H5" s="63" t="str">
        <f>iferror('Quarterly Revenue&amp;EBITDA'!H5/'Quarterly Revenue&amp;EBITDA'!H1 - 1, "")</f>
        <v/>
      </c>
      <c r="I5" s="63" t="str">
        <f>iferror('Quarterly Revenue&amp;EBITDA'!I5/'Quarterly Revenue&amp;EBITDA'!I1 - 1, "")</f>
        <v/>
      </c>
      <c r="J5" s="63" t="str">
        <f>iferror('Quarterly Revenue&amp;EBITDA'!J5/'Quarterly Revenue&amp;EBITDA'!J1 - 1, "")</f>
        <v/>
      </c>
      <c r="K5" s="63" t="str">
        <f>iferror('Quarterly Revenue&amp;EBITDA'!K5/'Quarterly Revenue&amp;EBITDA'!K1 - 1, "")</f>
        <v/>
      </c>
      <c r="L5" s="63" t="str">
        <f>iferror('Quarterly Revenue&amp;EBITDA'!L5/'Quarterly Revenue&amp;EBITDA'!L1 - 1, "")</f>
        <v/>
      </c>
      <c r="M5" s="63" t="str">
        <f>iferror('Quarterly Revenue&amp;EBITDA'!M5/'Quarterly Revenue&amp;EBITDA'!M1 - 1, "")</f>
        <v/>
      </c>
      <c r="N5" s="63" t="str">
        <f>iferror('Quarterly Revenue&amp;EBITDA'!N5/'Quarterly Revenue&amp;EBITDA'!N1 - 1, "")</f>
        <v/>
      </c>
      <c r="O5" s="63" t="str">
        <f>iferror('Quarterly Revenue&amp;EBITDA'!O5/'Quarterly Revenue&amp;EBITDA'!O1 - 1, "")</f>
        <v/>
      </c>
      <c r="P5" s="63" t="str">
        <f>iferror('Quarterly Revenue&amp;EBITDA'!P5/'Quarterly Revenue&amp;EBITDA'!P1 - 1, "")</f>
        <v/>
      </c>
      <c r="Q5" s="63" t="str">
        <f>iferror('Quarterly Revenue&amp;EBITDA'!Q5/'Quarterly Revenue&amp;EBITDA'!Q1 - 1, "")</f>
        <v/>
      </c>
      <c r="R5" s="63"/>
      <c r="S5" s="63" t="str">
        <f>iferror('Quarterly Revenue&amp;EBITDA'!S5/'Quarterly Revenue&amp;EBITDA'!S1 - 1, "")</f>
        <v/>
      </c>
      <c r="T5" s="63" t="str">
        <f>iferror('Quarterly Revenue&amp;EBITDA'!T5/'Quarterly Revenue&amp;EBITDA'!T1 - 1, "")</f>
        <v/>
      </c>
      <c r="U5" s="63" t="str">
        <f>iferror('Quarterly Revenue&amp;EBITDA'!U5/'Quarterly Revenue&amp;EBITDA'!U1 - 1, "")</f>
        <v/>
      </c>
      <c r="V5" s="63" t="str">
        <f>iferror('Quarterly Revenue&amp;EBITDA'!V5/'Quarterly Revenue&amp;EBITDA'!V1 - 1, "")</f>
        <v/>
      </c>
      <c r="W5" s="63" t="str">
        <f>iferror('Quarterly Revenue&amp;EBITDA'!W5/'Quarterly Revenue&amp;EBITDA'!W1 - 1, "")</f>
        <v/>
      </c>
      <c r="X5" s="62"/>
      <c r="Y5" s="43"/>
      <c r="Z5" s="43"/>
      <c r="AA5" s="43"/>
      <c r="AB5" s="43"/>
      <c r="AC5" s="43"/>
      <c r="AD5" s="43"/>
    </row>
    <row r="6">
      <c r="A6" s="42" t="s">
        <v>33</v>
      </c>
      <c r="B6" s="62"/>
      <c r="C6" s="62"/>
      <c r="D6" s="63" t="str">
        <f>iferror('Quarterly Revenue&amp;EBITDA'!D6/'Quarterly Revenue&amp;EBITDA'!D2 - 1, "")</f>
        <v/>
      </c>
      <c r="E6" s="63" t="str">
        <f>iferror('Quarterly Revenue&amp;EBITDA'!E6/'Quarterly Revenue&amp;EBITDA'!E2 - 1, "")</f>
        <v/>
      </c>
      <c r="F6" s="63" t="str">
        <f>iferror('Quarterly Revenue&amp;EBITDA'!F6/'Quarterly Revenue&amp;EBITDA'!F2 - 1, "")</f>
        <v/>
      </c>
      <c r="G6" s="63" t="str">
        <f>iferror('Quarterly Revenue&amp;EBITDA'!G6/'Quarterly Revenue&amp;EBITDA'!G2 - 1, "")</f>
        <v/>
      </c>
      <c r="H6" s="63" t="str">
        <f>iferror('Quarterly Revenue&amp;EBITDA'!H6/'Quarterly Revenue&amp;EBITDA'!H2 - 1, "")</f>
        <v/>
      </c>
      <c r="I6" s="63" t="str">
        <f>iferror('Quarterly Revenue&amp;EBITDA'!I6/'Quarterly Revenue&amp;EBITDA'!I2 - 1, "")</f>
        <v/>
      </c>
      <c r="J6" s="63" t="str">
        <f>iferror('Quarterly Revenue&amp;EBITDA'!J6/'Quarterly Revenue&amp;EBITDA'!J2 - 1, "")</f>
        <v/>
      </c>
      <c r="K6" s="63" t="str">
        <f>iferror('Quarterly Revenue&amp;EBITDA'!K6/'Quarterly Revenue&amp;EBITDA'!K2 - 1, "")</f>
        <v/>
      </c>
      <c r="L6" s="63" t="str">
        <f>iferror('Quarterly Revenue&amp;EBITDA'!L6/'Quarterly Revenue&amp;EBITDA'!L2 - 1, "")</f>
        <v/>
      </c>
      <c r="M6" s="63" t="str">
        <f>iferror('Quarterly Revenue&amp;EBITDA'!M6/'Quarterly Revenue&amp;EBITDA'!M2 - 1, "")</f>
        <v/>
      </c>
      <c r="N6" s="63" t="str">
        <f>iferror('Quarterly Revenue&amp;EBITDA'!N6/'Quarterly Revenue&amp;EBITDA'!N2 - 1, "")</f>
        <v/>
      </c>
      <c r="O6" s="63" t="str">
        <f>iferror('Quarterly Revenue&amp;EBITDA'!O6/'Quarterly Revenue&amp;EBITDA'!O2 - 1, "")</f>
        <v/>
      </c>
      <c r="P6" s="63" t="str">
        <f>iferror('Quarterly Revenue&amp;EBITDA'!P6/'Quarterly Revenue&amp;EBITDA'!P2 - 1, "")</f>
        <v/>
      </c>
      <c r="Q6" s="63" t="str">
        <f>iferror('Quarterly Revenue&amp;EBITDA'!Q6/'Quarterly Revenue&amp;EBITDA'!Q2 - 1, "")</f>
        <v/>
      </c>
      <c r="R6" s="63"/>
      <c r="S6" s="63" t="str">
        <f>iferror('Quarterly Revenue&amp;EBITDA'!S6/'Quarterly Revenue&amp;EBITDA'!S2 - 1, "")</f>
        <v/>
      </c>
      <c r="T6" s="63" t="str">
        <f>iferror('Quarterly Revenue&amp;EBITDA'!T6/'Quarterly Revenue&amp;EBITDA'!T2 - 1, "")</f>
        <v/>
      </c>
      <c r="U6" s="63" t="str">
        <f>iferror('Quarterly Revenue&amp;EBITDA'!U6/'Quarterly Revenue&amp;EBITDA'!U2 - 1, "")</f>
        <v/>
      </c>
      <c r="V6" s="63" t="str">
        <f>iferror('Quarterly Revenue&amp;EBITDA'!V6/'Quarterly Revenue&amp;EBITDA'!V2 - 1, "")</f>
        <v/>
      </c>
      <c r="W6" s="63" t="str">
        <f>iferror('Quarterly Revenue&amp;EBITDA'!W6/'Quarterly Revenue&amp;EBITDA'!W2 - 1, "")</f>
        <v/>
      </c>
      <c r="X6" s="62"/>
      <c r="Y6" s="43"/>
      <c r="Z6" s="43"/>
      <c r="AA6" s="43"/>
      <c r="AB6" s="43"/>
      <c r="AC6" s="43"/>
      <c r="AD6" s="43"/>
    </row>
    <row r="7">
      <c r="A7" s="42" t="s">
        <v>34</v>
      </c>
      <c r="B7" s="62"/>
      <c r="C7" s="63" t="str">
        <f>iferror('Quarterly Revenue&amp;EBITDA'!C7/'Quarterly Revenue&amp;EBITDA'!C3 - 1, "")</f>
        <v/>
      </c>
      <c r="D7" s="63"/>
      <c r="E7" s="63" t="str">
        <f>iferror('Quarterly Revenue&amp;EBITDA'!E7/'Quarterly Revenue&amp;EBITDA'!E3 - 1, "")</f>
        <v/>
      </c>
      <c r="F7" s="63" t="str">
        <f>iferror('Quarterly Revenue&amp;EBITDA'!F7/'Quarterly Revenue&amp;EBITDA'!F3 - 1, "")</f>
        <v/>
      </c>
      <c r="G7" s="63" t="str">
        <f>iferror('Quarterly Revenue&amp;EBITDA'!G7/'Quarterly Revenue&amp;EBITDA'!G3 - 1, "")</f>
        <v/>
      </c>
      <c r="H7" s="63" t="str">
        <f>iferror('Quarterly Revenue&amp;EBITDA'!H7/'Quarterly Revenue&amp;EBITDA'!H3 - 1, "")</f>
        <v/>
      </c>
      <c r="I7" s="63" t="str">
        <f>iferror('Quarterly Revenue&amp;EBITDA'!I7/'Quarterly Revenue&amp;EBITDA'!I3 - 1, "")</f>
        <v/>
      </c>
      <c r="J7" s="63" t="str">
        <f>iferror('Quarterly Revenue&amp;EBITDA'!J7/'Quarterly Revenue&amp;EBITDA'!J3 - 1, "")</f>
        <v/>
      </c>
      <c r="K7" s="63" t="str">
        <f>iferror('Quarterly Revenue&amp;EBITDA'!K7/'Quarterly Revenue&amp;EBITDA'!K3 - 1, "")</f>
        <v/>
      </c>
      <c r="L7" s="63" t="str">
        <f>iferror('Quarterly Revenue&amp;EBITDA'!L7/'Quarterly Revenue&amp;EBITDA'!L3 - 1, "")</f>
        <v/>
      </c>
      <c r="M7" s="63" t="str">
        <f>iferror('Quarterly Revenue&amp;EBITDA'!M7/'Quarterly Revenue&amp;EBITDA'!M3 - 1, "")</f>
        <v/>
      </c>
      <c r="N7" s="63" t="str">
        <f>iferror('Quarterly Revenue&amp;EBITDA'!N7/'Quarterly Revenue&amp;EBITDA'!N3 - 1, "")</f>
        <v/>
      </c>
      <c r="O7" s="63" t="str">
        <f>iferror('Quarterly Revenue&amp;EBITDA'!O7/'Quarterly Revenue&amp;EBITDA'!O3 - 1, "")</f>
        <v/>
      </c>
      <c r="P7" s="63" t="str">
        <f>iferror('Quarterly Revenue&amp;EBITDA'!P7/'Quarterly Revenue&amp;EBITDA'!P3 - 1, "")</f>
        <v/>
      </c>
      <c r="Q7" s="63" t="str">
        <f>iferror('Quarterly Revenue&amp;EBITDA'!Q7/'Quarterly Revenue&amp;EBITDA'!Q3 - 1, "")</f>
        <v/>
      </c>
      <c r="R7" s="63"/>
      <c r="S7" s="63" t="str">
        <f>iferror('Quarterly Revenue&amp;EBITDA'!S7/'Quarterly Revenue&amp;EBITDA'!S3 - 1, "")</f>
        <v/>
      </c>
      <c r="T7" s="63" t="str">
        <f>iferror('Quarterly Revenue&amp;EBITDA'!T7/'Quarterly Revenue&amp;EBITDA'!T3 - 1, "")</f>
        <v/>
      </c>
      <c r="U7" s="63" t="str">
        <f>iferror('Quarterly Revenue&amp;EBITDA'!U7/'Quarterly Revenue&amp;EBITDA'!U3 - 1, "")</f>
        <v/>
      </c>
      <c r="V7" s="63" t="str">
        <f>iferror('Quarterly Revenue&amp;EBITDA'!V7/'Quarterly Revenue&amp;EBITDA'!V3 - 1, "")</f>
        <v/>
      </c>
      <c r="W7" s="63">
        <f>iferror('Quarterly Revenue&amp;EBITDA'!W7/'Quarterly Revenue&amp;EBITDA'!W3 - 1, "")</f>
        <v>1.28685259</v>
      </c>
      <c r="X7" s="63">
        <f>iferror('Quarterly Revenue&amp;EBITDA'!X7/'Quarterly Revenue&amp;EBITDA'!X3 - 1, "")</f>
        <v>0.007378704182</v>
      </c>
      <c r="Y7" s="43"/>
      <c r="Z7" s="43"/>
      <c r="AA7" s="43"/>
      <c r="AB7" s="43"/>
      <c r="AC7" s="43"/>
      <c r="AD7" s="43"/>
    </row>
    <row r="8">
      <c r="A8" s="42" t="s">
        <v>35</v>
      </c>
      <c r="B8" s="62"/>
      <c r="C8" s="63" t="str">
        <f>iferror('Quarterly Revenue&amp;EBITDA'!C8/'Quarterly Revenue&amp;EBITDA'!C4 - 1, "")</f>
        <v/>
      </c>
      <c r="D8" s="63"/>
      <c r="E8" s="63" t="str">
        <f>iferror('Quarterly Revenue&amp;EBITDA'!E8/'Quarterly Revenue&amp;EBITDA'!E4 - 1, "")</f>
        <v/>
      </c>
      <c r="F8" s="63" t="str">
        <f>iferror('Quarterly Revenue&amp;EBITDA'!F8/'Quarterly Revenue&amp;EBITDA'!F4 - 1, "")</f>
        <v/>
      </c>
      <c r="G8" s="63" t="str">
        <f>iferror('Quarterly Revenue&amp;EBITDA'!G8/'Quarterly Revenue&amp;EBITDA'!G4 - 1, "")</f>
        <v/>
      </c>
      <c r="H8" s="63" t="str">
        <f>iferror('Quarterly Revenue&amp;EBITDA'!H8/'Quarterly Revenue&amp;EBITDA'!H4 - 1, "")</f>
        <v/>
      </c>
      <c r="I8" s="63" t="str">
        <f>iferror('Quarterly Revenue&amp;EBITDA'!I8/'Quarterly Revenue&amp;EBITDA'!I4 - 1, "")</f>
        <v/>
      </c>
      <c r="J8" s="63" t="str">
        <f>iferror('Quarterly Revenue&amp;EBITDA'!J8/'Quarterly Revenue&amp;EBITDA'!J4 - 1, "")</f>
        <v/>
      </c>
      <c r="K8" s="63" t="str">
        <f>iferror('Quarterly Revenue&amp;EBITDA'!K8/'Quarterly Revenue&amp;EBITDA'!K4 - 1, "")</f>
        <v/>
      </c>
      <c r="L8" s="63" t="str">
        <f>iferror('Quarterly Revenue&amp;EBITDA'!L8/'Quarterly Revenue&amp;EBITDA'!L4 - 1, "")</f>
        <v/>
      </c>
      <c r="M8" s="63" t="str">
        <f>iferror('Quarterly Revenue&amp;EBITDA'!M8/'Quarterly Revenue&amp;EBITDA'!M4 - 1, "")</f>
        <v/>
      </c>
      <c r="N8" s="63" t="str">
        <f>iferror('Quarterly Revenue&amp;EBITDA'!N8/'Quarterly Revenue&amp;EBITDA'!N4 - 1, "")</f>
        <v/>
      </c>
      <c r="O8" s="63" t="str">
        <f>iferror('Quarterly Revenue&amp;EBITDA'!O8/'Quarterly Revenue&amp;EBITDA'!O4 - 1, "")</f>
        <v/>
      </c>
      <c r="P8" s="63" t="str">
        <f>iferror('Quarterly Revenue&amp;EBITDA'!P8/'Quarterly Revenue&amp;EBITDA'!P4 - 1, "")</f>
        <v/>
      </c>
      <c r="Q8" s="63" t="str">
        <f>iferror('Quarterly Revenue&amp;EBITDA'!Q8/'Quarterly Revenue&amp;EBITDA'!Q4 - 1, "")</f>
        <v/>
      </c>
      <c r="R8" s="63"/>
      <c r="S8" s="63" t="str">
        <f>iferror('Quarterly Revenue&amp;EBITDA'!S8/'Quarterly Revenue&amp;EBITDA'!S4 - 1, "")</f>
        <v/>
      </c>
      <c r="T8" s="63" t="str">
        <f>iferror('Quarterly Revenue&amp;EBITDA'!T8/'Quarterly Revenue&amp;EBITDA'!T4 - 1, "")</f>
        <v/>
      </c>
      <c r="U8" s="63" t="str">
        <f>iferror('Quarterly Revenue&amp;EBITDA'!U8/'Quarterly Revenue&amp;EBITDA'!U4 - 1, "")</f>
        <v/>
      </c>
      <c r="V8" s="63" t="str">
        <f>iferror('Quarterly Revenue&amp;EBITDA'!V8/'Quarterly Revenue&amp;EBITDA'!V4 - 1, "")</f>
        <v/>
      </c>
      <c r="W8" s="63">
        <f>iferror('Quarterly Revenue&amp;EBITDA'!W8/'Quarterly Revenue&amp;EBITDA'!W4 - 1, "")</f>
        <v>1.28685259</v>
      </c>
      <c r="X8" s="63">
        <f>iferror('Quarterly Revenue&amp;EBITDA'!X8/'Quarterly Revenue&amp;EBITDA'!X4 - 1, "")</f>
        <v>0.007378704182</v>
      </c>
      <c r="Y8" s="43"/>
      <c r="Z8" s="43"/>
      <c r="AA8" s="43"/>
      <c r="AB8" s="43"/>
      <c r="AC8" s="43"/>
      <c r="AD8" s="43"/>
    </row>
    <row r="9">
      <c r="A9" s="42" t="s">
        <v>36</v>
      </c>
      <c r="B9" s="62"/>
      <c r="C9" s="63" t="str">
        <f>iferror('Quarterly Revenue&amp;EBITDA'!C9/'Quarterly Revenue&amp;EBITDA'!C5 - 1, "")</f>
        <v/>
      </c>
      <c r="D9" s="63"/>
      <c r="E9" s="63" t="str">
        <f>iferror('Quarterly Revenue&amp;EBITDA'!E9/'Quarterly Revenue&amp;EBITDA'!E5 - 1, "")</f>
        <v/>
      </c>
      <c r="F9" s="63" t="str">
        <f>iferror('Quarterly Revenue&amp;EBITDA'!F9/'Quarterly Revenue&amp;EBITDA'!F5 - 1, "")</f>
        <v/>
      </c>
      <c r="G9" s="63" t="str">
        <f>iferror('Quarterly Revenue&amp;EBITDA'!G9/'Quarterly Revenue&amp;EBITDA'!G5 - 1, "")</f>
        <v/>
      </c>
      <c r="H9" s="63" t="str">
        <f>iferror('Quarterly Revenue&amp;EBITDA'!H9/'Quarterly Revenue&amp;EBITDA'!H5 - 1, "")</f>
        <v/>
      </c>
      <c r="I9" s="63" t="str">
        <f>iferror('Quarterly Revenue&amp;EBITDA'!I9/'Quarterly Revenue&amp;EBITDA'!I5 - 1, "")</f>
        <v/>
      </c>
      <c r="J9" s="63" t="str">
        <f>iferror('Quarterly Revenue&amp;EBITDA'!J9/'Quarterly Revenue&amp;EBITDA'!J5 - 1, "")</f>
        <v/>
      </c>
      <c r="K9" s="63" t="str">
        <f>iferror('Quarterly Revenue&amp;EBITDA'!K9/'Quarterly Revenue&amp;EBITDA'!K5 - 1, "")</f>
        <v/>
      </c>
      <c r="L9" s="63" t="str">
        <f>iferror('Quarterly Revenue&amp;EBITDA'!L9/'Quarterly Revenue&amp;EBITDA'!L5 - 1, "")</f>
        <v/>
      </c>
      <c r="M9" s="63" t="str">
        <f>iferror('Quarterly Revenue&amp;EBITDA'!M9/'Quarterly Revenue&amp;EBITDA'!M5 - 1, "")</f>
        <v/>
      </c>
      <c r="N9" s="63" t="str">
        <f>iferror('Quarterly Revenue&amp;EBITDA'!N9/'Quarterly Revenue&amp;EBITDA'!N5 - 1, "")</f>
        <v/>
      </c>
      <c r="O9" s="63" t="str">
        <f>iferror('Quarterly Revenue&amp;EBITDA'!O9/'Quarterly Revenue&amp;EBITDA'!O5 - 1, "")</f>
        <v/>
      </c>
      <c r="P9" s="63" t="str">
        <f>iferror('Quarterly Revenue&amp;EBITDA'!P9/'Quarterly Revenue&amp;EBITDA'!P5 - 1, "")</f>
        <v/>
      </c>
      <c r="Q9" s="63" t="str">
        <f>iferror('Quarterly Revenue&amp;EBITDA'!Q9/'Quarterly Revenue&amp;EBITDA'!Q5 - 1, "")</f>
        <v/>
      </c>
      <c r="R9" s="63"/>
      <c r="S9" s="63" t="str">
        <f>iferror('Quarterly Revenue&amp;EBITDA'!S9/'Quarterly Revenue&amp;EBITDA'!S5 - 1, "")</f>
        <v/>
      </c>
      <c r="T9" s="63" t="str">
        <f>iferror('Quarterly Revenue&amp;EBITDA'!T9/'Quarterly Revenue&amp;EBITDA'!T5 - 1, "")</f>
        <v/>
      </c>
      <c r="U9" s="63" t="str">
        <f>iferror('Quarterly Revenue&amp;EBITDA'!U9/'Quarterly Revenue&amp;EBITDA'!U5 - 1, "")</f>
        <v/>
      </c>
      <c r="V9" s="63" t="str">
        <f>iferror('Quarterly Revenue&amp;EBITDA'!V9/'Quarterly Revenue&amp;EBITDA'!V5 - 1, "")</f>
        <v/>
      </c>
      <c r="W9" s="63">
        <f>iferror('Quarterly Revenue&amp;EBITDA'!W9/'Quarterly Revenue&amp;EBITDA'!W5 - 1, "")</f>
        <v>1.28685259</v>
      </c>
      <c r="X9" s="63">
        <f>iferror('Quarterly Revenue&amp;EBITDA'!X9/'Quarterly Revenue&amp;EBITDA'!X5 - 1, "")</f>
        <v>0.3094551725</v>
      </c>
      <c r="Y9" s="43"/>
      <c r="Z9" s="43"/>
      <c r="AA9" s="43"/>
      <c r="AB9" s="43"/>
      <c r="AC9" s="43"/>
      <c r="AD9" s="43"/>
    </row>
    <row r="10">
      <c r="A10" s="42" t="s">
        <v>37</v>
      </c>
      <c r="B10" s="62"/>
      <c r="C10" s="63" t="str">
        <f>iferror('Quarterly Revenue&amp;EBITDA'!C10/'Quarterly Revenue&amp;EBITDA'!C6 - 1, "")</f>
        <v/>
      </c>
      <c r="D10" s="63"/>
      <c r="E10" s="63" t="str">
        <f>iferror('Quarterly Revenue&amp;EBITDA'!E10/'Quarterly Revenue&amp;EBITDA'!E6 - 1, "")</f>
        <v/>
      </c>
      <c r="F10" s="63" t="str">
        <f>iferror('Quarterly Revenue&amp;EBITDA'!F10/'Quarterly Revenue&amp;EBITDA'!F6 - 1, "")</f>
        <v/>
      </c>
      <c r="G10" s="63" t="str">
        <f>iferror('Quarterly Revenue&amp;EBITDA'!G10/'Quarterly Revenue&amp;EBITDA'!G6 - 1, "")</f>
        <v/>
      </c>
      <c r="H10" s="63" t="str">
        <f>iferror('Quarterly Revenue&amp;EBITDA'!H10/'Quarterly Revenue&amp;EBITDA'!H6 - 1, "")</f>
        <v/>
      </c>
      <c r="I10" s="63" t="str">
        <f>iferror('Quarterly Revenue&amp;EBITDA'!I10/'Quarterly Revenue&amp;EBITDA'!I6 - 1, "")</f>
        <v/>
      </c>
      <c r="J10" s="63" t="str">
        <f>iferror('Quarterly Revenue&amp;EBITDA'!J10/'Quarterly Revenue&amp;EBITDA'!J6 - 1, "")</f>
        <v/>
      </c>
      <c r="K10" s="63" t="str">
        <f>iferror('Quarterly Revenue&amp;EBITDA'!K10/'Quarterly Revenue&amp;EBITDA'!K6 - 1, "")</f>
        <v/>
      </c>
      <c r="L10" s="63" t="str">
        <f>iferror('Quarterly Revenue&amp;EBITDA'!L10/'Quarterly Revenue&amp;EBITDA'!L6 - 1, "")</f>
        <v/>
      </c>
      <c r="M10" s="63" t="str">
        <f>iferror('Quarterly Revenue&amp;EBITDA'!M10/'Quarterly Revenue&amp;EBITDA'!M6 - 1, "")</f>
        <v/>
      </c>
      <c r="N10" s="63" t="str">
        <f>iferror('Quarterly Revenue&amp;EBITDA'!N10/'Quarterly Revenue&amp;EBITDA'!N6 - 1, "")</f>
        <v/>
      </c>
      <c r="O10" s="63" t="str">
        <f>iferror('Quarterly Revenue&amp;EBITDA'!O10/'Quarterly Revenue&amp;EBITDA'!O6 - 1, "")</f>
        <v/>
      </c>
      <c r="P10" s="63" t="str">
        <f>iferror('Quarterly Revenue&amp;EBITDA'!P10/'Quarterly Revenue&amp;EBITDA'!P6 - 1, "")</f>
        <v/>
      </c>
      <c r="Q10" s="63" t="str">
        <f>iferror('Quarterly Revenue&amp;EBITDA'!Q10/'Quarterly Revenue&amp;EBITDA'!Q6 - 1, "")</f>
        <v/>
      </c>
      <c r="R10" s="63"/>
      <c r="S10" s="63" t="str">
        <f>iferror('Quarterly Revenue&amp;EBITDA'!S10/'Quarterly Revenue&amp;EBITDA'!S6 - 1, "")</f>
        <v/>
      </c>
      <c r="T10" s="63" t="str">
        <f>iferror('Quarterly Revenue&amp;EBITDA'!T10/'Quarterly Revenue&amp;EBITDA'!T6 - 1, "")</f>
        <v/>
      </c>
      <c r="U10" s="63" t="str">
        <f>iferror('Quarterly Revenue&amp;EBITDA'!U10/'Quarterly Revenue&amp;EBITDA'!U6 - 1, "")</f>
        <v/>
      </c>
      <c r="V10" s="63" t="str">
        <f>iferror('Quarterly Revenue&amp;EBITDA'!V10/'Quarterly Revenue&amp;EBITDA'!V6 - 1, "")</f>
        <v/>
      </c>
      <c r="W10" s="63">
        <f>iferror('Quarterly Revenue&amp;EBITDA'!W10/'Quarterly Revenue&amp;EBITDA'!W6 - 1, "")</f>
        <v>1.28685259</v>
      </c>
      <c r="X10" s="63">
        <f>iferror('Quarterly Revenue&amp;EBITDA'!X10/'Quarterly Revenue&amp;EBITDA'!X6 - 1, "")</f>
        <v>0.3094551725</v>
      </c>
      <c r="Y10" s="43"/>
      <c r="Z10" s="43"/>
      <c r="AA10" s="43"/>
      <c r="AB10" s="43"/>
      <c r="AC10" s="43"/>
      <c r="AD10" s="43"/>
    </row>
    <row r="11">
      <c r="A11" s="42" t="s">
        <v>38</v>
      </c>
      <c r="B11" s="62"/>
      <c r="C11" s="63"/>
      <c r="D11" s="63">
        <f>iferror('Quarterly Revenue&amp;EBITDA'!D11/'Quarterly Revenue&amp;EBITDA'!D7 - 1, "")</f>
        <v>1.79879945</v>
      </c>
      <c r="E11" s="63" t="str">
        <f>iferror('Quarterly Revenue&amp;EBITDA'!E11/'Quarterly Revenue&amp;EBITDA'!E7 - 1, "")</f>
        <v/>
      </c>
      <c r="F11" s="63" t="str">
        <f>iferror('Quarterly Revenue&amp;EBITDA'!F11/'Quarterly Revenue&amp;EBITDA'!F7 - 1, "")</f>
        <v/>
      </c>
      <c r="G11" s="63" t="str">
        <f>iferror('Quarterly Revenue&amp;EBITDA'!G11/'Quarterly Revenue&amp;EBITDA'!G7 - 1, "")</f>
        <v/>
      </c>
      <c r="H11" s="63" t="str">
        <f>iferror('Quarterly Revenue&amp;EBITDA'!H11/'Quarterly Revenue&amp;EBITDA'!H7 - 1, "")</f>
        <v/>
      </c>
      <c r="I11" s="63" t="str">
        <f>iferror('Quarterly Revenue&amp;EBITDA'!I11/'Quarterly Revenue&amp;EBITDA'!I7 - 1, "")</f>
        <v/>
      </c>
      <c r="J11" s="63" t="str">
        <f>iferror('Quarterly Revenue&amp;EBITDA'!J11/'Quarterly Revenue&amp;EBITDA'!J7 - 1, "")</f>
        <v/>
      </c>
      <c r="K11" s="63" t="str">
        <f>iferror('Quarterly Revenue&amp;EBITDA'!K11/'Quarterly Revenue&amp;EBITDA'!K7 - 1, "")</f>
        <v/>
      </c>
      <c r="L11" s="63" t="str">
        <f>iferror('Quarterly Revenue&amp;EBITDA'!L11/'Quarterly Revenue&amp;EBITDA'!L7 - 1, "")</f>
        <v/>
      </c>
      <c r="M11" s="63" t="str">
        <f>iferror('Quarterly Revenue&amp;EBITDA'!M11/'Quarterly Revenue&amp;EBITDA'!M7 - 1, "")</f>
        <v/>
      </c>
      <c r="N11" s="63" t="str">
        <f>iferror('Quarterly Revenue&amp;EBITDA'!N11/'Quarterly Revenue&amp;EBITDA'!N7 - 1, "")</f>
        <v/>
      </c>
      <c r="O11" s="63" t="str">
        <f>iferror('Quarterly Revenue&amp;EBITDA'!O11/'Quarterly Revenue&amp;EBITDA'!O7 - 1, "")</f>
        <v/>
      </c>
      <c r="P11" s="63" t="str">
        <f>iferror('Quarterly Revenue&amp;EBITDA'!P11/'Quarterly Revenue&amp;EBITDA'!P7 - 1, "")</f>
        <v/>
      </c>
      <c r="Q11" s="63" t="str">
        <f>iferror('Quarterly Revenue&amp;EBITDA'!Q11/'Quarterly Revenue&amp;EBITDA'!Q7 - 1, "")</f>
        <v/>
      </c>
      <c r="R11" s="63"/>
      <c r="S11" s="63" t="str">
        <f>iferror('Quarterly Revenue&amp;EBITDA'!S11/'Quarterly Revenue&amp;EBITDA'!S7 - 1, "")</f>
        <v/>
      </c>
      <c r="T11" s="63" t="str">
        <f>iferror('Quarterly Revenue&amp;EBITDA'!T11/'Quarterly Revenue&amp;EBITDA'!T7 - 1, "")</f>
        <v/>
      </c>
      <c r="U11" s="63" t="str">
        <f>iferror('Quarterly Revenue&amp;EBITDA'!U11/'Quarterly Revenue&amp;EBITDA'!U7 - 1, "")</f>
        <v/>
      </c>
      <c r="V11" s="63" t="str">
        <f>iferror('Quarterly Revenue&amp;EBITDA'!V11/'Quarterly Revenue&amp;EBITDA'!V7 - 1, "")</f>
        <v/>
      </c>
      <c r="W11" s="63">
        <f>iferror('Quarterly Revenue&amp;EBITDA'!W11/'Quarterly Revenue&amp;EBITDA'!W7 - 1, "")</f>
        <v>2.0222714</v>
      </c>
      <c r="X11" s="63">
        <f>iferror('Quarterly Revenue&amp;EBITDA'!X11/'Quarterly Revenue&amp;EBITDA'!X7 - 1, "")</f>
        <v>0.3094551725</v>
      </c>
      <c r="Y11" s="43"/>
      <c r="Z11" s="43"/>
      <c r="AA11" s="43"/>
      <c r="AB11" s="43"/>
      <c r="AC11" s="43"/>
      <c r="AD11" s="43"/>
    </row>
    <row r="12">
      <c r="A12" s="42" t="s">
        <v>39</v>
      </c>
      <c r="B12" s="62"/>
      <c r="C12" s="63"/>
      <c r="D12" s="63">
        <f>iferror('Quarterly Revenue&amp;EBITDA'!D12/'Quarterly Revenue&amp;EBITDA'!D8 - 1, "")</f>
        <v>1.79879945</v>
      </c>
      <c r="E12" s="63" t="str">
        <f>iferror('Quarterly Revenue&amp;EBITDA'!E12/'Quarterly Revenue&amp;EBITDA'!E8 - 1, "")</f>
        <v/>
      </c>
      <c r="F12" s="63" t="str">
        <f>iferror('Quarterly Revenue&amp;EBITDA'!F12/'Quarterly Revenue&amp;EBITDA'!F8 - 1, "")</f>
        <v/>
      </c>
      <c r="G12" s="63" t="str">
        <f>iferror('Quarterly Revenue&amp;EBITDA'!G12/'Quarterly Revenue&amp;EBITDA'!G8 - 1, "")</f>
        <v/>
      </c>
      <c r="H12" s="63" t="str">
        <f>iferror('Quarterly Revenue&amp;EBITDA'!H12/'Quarterly Revenue&amp;EBITDA'!H8 - 1, "")</f>
        <v/>
      </c>
      <c r="I12" s="63" t="str">
        <f>iferror('Quarterly Revenue&amp;EBITDA'!I12/'Quarterly Revenue&amp;EBITDA'!I8 - 1, "")</f>
        <v/>
      </c>
      <c r="J12" s="63" t="str">
        <f>iferror('Quarterly Revenue&amp;EBITDA'!J12/'Quarterly Revenue&amp;EBITDA'!J8 - 1, "")</f>
        <v/>
      </c>
      <c r="K12" s="63" t="str">
        <f>iferror('Quarterly Revenue&amp;EBITDA'!K12/'Quarterly Revenue&amp;EBITDA'!K8 - 1, "")</f>
        <v/>
      </c>
      <c r="L12" s="63" t="str">
        <f>iferror('Quarterly Revenue&amp;EBITDA'!L12/'Quarterly Revenue&amp;EBITDA'!L8 - 1, "")</f>
        <v/>
      </c>
      <c r="M12" s="63" t="str">
        <f>iferror('Quarterly Revenue&amp;EBITDA'!M12/'Quarterly Revenue&amp;EBITDA'!M8 - 1, "")</f>
        <v/>
      </c>
      <c r="N12" s="63" t="str">
        <f>iferror('Quarterly Revenue&amp;EBITDA'!N12/'Quarterly Revenue&amp;EBITDA'!N8 - 1, "")</f>
        <v/>
      </c>
      <c r="O12" s="63" t="str">
        <f>iferror('Quarterly Revenue&amp;EBITDA'!O12/'Quarterly Revenue&amp;EBITDA'!O8 - 1, "")</f>
        <v/>
      </c>
      <c r="P12" s="63" t="str">
        <f>iferror('Quarterly Revenue&amp;EBITDA'!P12/'Quarterly Revenue&amp;EBITDA'!P8 - 1, "")</f>
        <v/>
      </c>
      <c r="Q12" s="63" t="str">
        <f>iferror('Quarterly Revenue&amp;EBITDA'!Q12/'Quarterly Revenue&amp;EBITDA'!Q8 - 1, "")</f>
        <v/>
      </c>
      <c r="R12" s="63"/>
      <c r="S12" s="63" t="str">
        <f>iferror('Quarterly Revenue&amp;EBITDA'!S12/'Quarterly Revenue&amp;EBITDA'!S8 - 1, "")</f>
        <v/>
      </c>
      <c r="T12" s="63" t="str">
        <f>iferror('Quarterly Revenue&amp;EBITDA'!T12/'Quarterly Revenue&amp;EBITDA'!T8 - 1, "")</f>
        <v/>
      </c>
      <c r="U12" s="63" t="str">
        <f>iferror('Quarterly Revenue&amp;EBITDA'!U12/'Quarterly Revenue&amp;EBITDA'!U8 - 1, "")</f>
        <v/>
      </c>
      <c r="V12" s="63" t="str">
        <f>iferror('Quarterly Revenue&amp;EBITDA'!V12/'Quarterly Revenue&amp;EBITDA'!V8 - 1, "")</f>
        <v/>
      </c>
      <c r="W12" s="63">
        <f>iferror('Quarterly Revenue&amp;EBITDA'!W12/'Quarterly Revenue&amp;EBITDA'!W8 - 1, "")</f>
        <v>2.0222714</v>
      </c>
      <c r="X12" s="63">
        <f>iferror('Quarterly Revenue&amp;EBITDA'!X12/'Quarterly Revenue&amp;EBITDA'!X8 - 1, "")</f>
        <v>0.3094551725</v>
      </c>
      <c r="Y12" s="43"/>
      <c r="Z12" s="43"/>
      <c r="AA12" s="43"/>
      <c r="AB12" s="43"/>
      <c r="AC12" s="43"/>
      <c r="AD12" s="43"/>
    </row>
    <row r="13">
      <c r="A13" s="42" t="s">
        <v>40</v>
      </c>
      <c r="B13" s="62"/>
      <c r="C13" s="63"/>
      <c r="D13" s="63">
        <f>iferror('Quarterly Revenue&amp;EBITDA'!D13/'Quarterly Revenue&amp;EBITDA'!D9 - 1, "")</f>
        <v>1.79879945</v>
      </c>
      <c r="E13" s="63" t="str">
        <f>iferror('Quarterly Revenue&amp;EBITDA'!E13/'Quarterly Revenue&amp;EBITDA'!E9 - 1, "")</f>
        <v/>
      </c>
      <c r="F13" s="63" t="str">
        <f>iferror('Quarterly Revenue&amp;EBITDA'!F13/'Quarterly Revenue&amp;EBITDA'!F9 - 1, "")</f>
        <v/>
      </c>
      <c r="G13" s="63" t="str">
        <f>iferror('Quarterly Revenue&amp;EBITDA'!G13/'Quarterly Revenue&amp;EBITDA'!G9 - 1, "")</f>
        <v/>
      </c>
      <c r="H13" s="63" t="str">
        <f>iferror('Quarterly Revenue&amp;EBITDA'!H13/'Quarterly Revenue&amp;EBITDA'!H9 - 1, "")</f>
        <v/>
      </c>
      <c r="I13" s="63" t="str">
        <f>iferror('Quarterly Revenue&amp;EBITDA'!I13/'Quarterly Revenue&amp;EBITDA'!I9 - 1, "")</f>
        <v/>
      </c>
      <c r="J13" s="63" t="str">
        <f>iferror('Quarterly Revenue&amp;EBITDA'!J13/'Quarterly Revenue&amp;EBITDA'!J9 - 1, "")</f>
        <v/>
      </c>
      <c r="K13" s="63" t="str">
        <f>iferror('Quarterly Revenue&amp;EBITDA'!K13/'Quarterly Revenue&amp;EBITDA'!K9 - 1, "")</f>
        <v/>
      </c>
      <c r="L13" s="63" t="str">
        <f>iferror('Quarterly Revenue&amp;EBITDA'!L13/'Quarterly Revenue&amp;EBITDA'!L9 - 1, "")</f>
        <v/>
      </c>
      <c r="M13" s="63" t="str">
        <f>iferror('Quarterly Revenue&amp;EBITDA'!M13/'Quarterly Revenue&amp;EBITDA'!M9 - 1, "")</f>
        <v/>
      </c>
      <c r="N13" s="63" t="str">
        <f>iferror('Quarterly Revenue&amp;EBITDA'!N13/'Quarterly Revenue&amp;EBITDA'!N9 - 1, "")</f>
        <v/>
      </c>
      <c r="O13" s="63" t="str">
        <f>iferror('Quarterly Revenue&amp;EBITDA'!O13/'Quarterly Revenue&amp;EBITDA'!O9 - 1, "")</f>
        <v/>
      </c>
      <c r="P13" s="63" t="str">
        <f>iferror('Quarterly Revenue&amp;EBITDA'!P13/'Quarterly Revenue&amp;EBITDA'!P9 - 1, "")</f>
        <v/>
      </c>
      <c r="Q13" s="63" t="str">
        <f>iferror('Quarterly Revenue&amp;EBITDA'!Q13/'Quarterly Revenue&amp;EBITDA'!Q9 - 1, "")</f>
        <v/>
      </c>
      <c r="R13" s="63"/>
      <c r="S13" s="63" t="str">
        <f>iferror('Quarterly Revenue&amp;EBITDA'!S13/'Quarterly Revenue&amp;EBITDA'!S9 - 1, "")</f>
        <v/>
      </c>
      <c r="T13" s="63" t="str">
        <f>iferror('Quarterly Revenue&amp;EBITDA'!T13/'Quarterly Revenue&amp;EBITDA'!T9 - 1, "")</f>
        <v/>
      </c>
      <c r="U13" s="63" t="str">
        <f>iferror('Quarterly Revenue&amp;EBITDA'!U13/'Quarterly Revenue&amp;EBITDA'!U9 - 1, "")</f>
        <v/>
      </c>
      <c r="V13" s="63" t="str">
        <f>iferror('Quarterly Revenue&amp;EBITDA'!V13/'Quarterly Revenue&amp;EBITDA'!V9 - 1, "")</f>
        <v/>
      </c>
      <c r="W13" s="63">
        <f>iferror('Quarterly Revenue&amp;EBITDA'!W13/'Quarterly Revenue&amp;EBITDA'!W9 - 1, "")</f>
        <v>2.0222714</v>
      </c>
      <c r="X13" s="63">
        <f>iferror('Quarterly Revenue&amp;EBITDA'!X13/'Quarterly Revenue&amp;EBITDA'!X9 - 1, "")</f>
        <v>0.1888455045</v>
      </c>
      <c r="Y13" s="43"/>
      <c r="Z13" s="43"/>
      <c r="AA13" s="43"/>
      <c r="AB13" s="43"/>
      <c r="AC13" s="43"/>
      <c r="AD13" s="43"/>
    </row>
    <row r="14">
      <c r="A14" s="42" t="s">
        <v>41</v>
      </c>
      <c r="B14" s="62"/>
      <c r="C14" s="63"/>
      <c r="D14" s="63">
        <f>iferror('Quarterly Revenue&amp;EBITDA'!D14/'Quarterly Revenue&amp;EBITDA'!D10 - 1, "")</f>
        <v>1.79879945</v>
      </c>
      <c r="E14" s="63" t="str">
        <f>iferror('Quarterly Revenue&amp;EBITDA'!E14/'Quarterly Revenue&amp;EBITDA'!E10 - 1, "")</f>
        <v/>
      </c>
      <c r="F14" s="63" t="str">
        <f>iferror('Quarterly Revenue&amp;EBITDA'!F14/'Quarterly Revenue&amp;EBITDA'!F10 - 1, "")</f>
        <v/>
      </c>
      <c r="G14" s="63" t="str">
        <f>iferror('Quarterly Revenue&amp;EBITDA'!G14/'Quarterly Revenue&amp;EBITDA'!G10 - 1, "")</f>
        <v/>
      </c>
      <c r="H14" s="63" t="str">
        <f>iferror('Quarterly Revenue&amp;EBITDA'!H14/'Quarterly Revenue&amp;EBITDA'!H10 - 1, "")</f>
        <v/>
      </c>
      <c r="I14" s="63" t="str">
        <f>iferror('Quarterly Revenue&amp;EBITDA'!I14/'Quarterly Revenue&amp;EBITDA'!I10 - 1, "")</f>
        <v/>
      </c>
      <c r="J14" s="63" t="str">
        <f>iferror('Quarterly Revenue&amp;EBITDA'!J14/'Quarterly Revenue&amp;EBITDA'!J10 - 1, "")</f>
        <v/>
      </c>
      <c r="K14" s="63" t="str">
        <f>iferror('Quarterly Revenue&amp;EBITDA'!K14/'Quarterly Revenue&amp;EBITDA'!K10 - 1, "")</f>
        <v/>
      </c>
      <c r="L14" s="63" t="str">
        <f>iferror('Quarterly Revenue&amp;EBITDA'!L14/'Quarterly Revenue&amp;EBITDA'!L10 - 1, "")</f>
        <v/>
      </c>
      <c r="M14" s="63" t="str">
        <f>iferror('Quarterly Revenue&amp;EBITDA'!M14/'Quarterly Revenue&amp;EBITDA'!M10 - 1, "")</f>
        <v/>
      </c>
      <c r="N14" s="63" t="str">
        <f>iferror('Quarterly Revenue&amp;EBITDA'!N14/'Quarterly Revenue&amp;EBITDA'!N10 - 1, "")</f>
        <v/>
      </c>
      <c r="O14" s="63" t="str">
        <f>iferror('Quarterly Revenue&amp;EBITDA'!O14/'Quarterly Revenue&amp;EBITDA'!O10 - 1, "")</f>
        <v/>
      </c>
      <c r="P14" s="63" t="str">
        <f>iferror('Quarterly Revenue&amp;EBITDA'!P14/'Quarterly Revenue&amp;EBITDA'!P10 - 1, "")</f>
        <v/>
      </c>
      <c r="Q14" s="63" t="str">
        <f>iferror('Quarterly Revenue&amp;EBITDA'!Q14/'Quarterly Revenue&amp;EBITDA'!Q10 - 1, "")</f>
        <v/>
      </c>
      <c r="R14" s="63"/>
      <c r="S14" s="63"/>
      <c r="T14" s="63" t="str">
        <f>iferror('Quarterly Revenue&amp;EBITDA'!T14/'Quarterly Revenue&amp;EBITDA'!T10 - 1, "")</f>
        <v/>
      </c>
      <c r="U14" s="63" t="str">
        <f>iferror('Quarterly Revenue&amp;EBITDA'!U14/'Quarterly Revenue&amp;EBITDA'!U10 - 1, "")</f>
        <v/>
      </c>
      <c r="V14" s="63" t="str">
        <f>iferror('Quarterly Revenue&amp;EBITDA'!V14/'Quarterly Revenue&amp;EBITDA'!V10 - 1, "")</f>
        <v/>
      </c>
      <c r="W14" s="63">
        <f>iferror('Quarterly Revenue&amp;EBITDA'!W14/'Quarterly Revenue&amp;EBITDA'!W10 - 1, "")</f>
        <v>2.0222714</v>
      </c>
      <c r="X14" s="63">
        <f>iferror('Quarterly Revenue&amp;EBITDA'!X14/'Quarterly Revenue&amp;EBITDA'!X10 - 1, "")</f>
        <v>0.1888455045</v>
      </c>
      <c r="Y14" s="43"/>
      <c r="Z14" s="43"/>
      <c r="AA14" s="43"/>
      <c r="AB14" s="43"/>
      <c r="AC14" s="43"/>
      <c r="AD14" s="43"/>
    </row>
    <row r="15">
      <c r="A15" s="42" t="s">
        <v>42</v>
      </c>
      <c r="B15" s="62"/>
      <c r="C15" s="63">
        <f>iferror('Quarterly Revenue&amp;EBITDA'!C15/'Quarterly Revenue&amp;EBITDA'!C11 - 1, "")</f>
        <v>1.560883895</v>
      </c>
      <c r="D15" s="63">
        <f>iferror('Quarterly Revenue&amp;EBITDA'!D15/'Quarterly Revenue&amp;EBITDA'!D11 - 1, "")</f>
        <v>1.445308664</v>
      </c>
      <c r="E15" s="63" t="str">
        <f>iferror('Quarterly Revenue&amp;EBITDA'!E15/'Quarterly Revenue&amp;EBITDA'!E11 - 1, "")</f>
        <v/>
      </c>
      <c r="F15" s="63" t="str">
        <f>iferror('Quarterly Revenue&amp;EBITDA'!F15/'Quarterly Revenue&amp;EBITDA'!F11 - 1, "")</f>
        <v/>
      </c>
      <c r="G15" s="63" t="str">
        <f>iferror('Quarterly Revenue&amp;EBITDA'!G15/'Quarterly Revenue&amp;EBITDA'!G11 - 1, "")</f>
        <v/>
      </c>
      <c r="H15" s="63" t="str">
        <f>iferror('Quarterly Revenue&amp;EBITDA'!H15/'Quarterly Revenue&amp;EBITDA'!H11 - 1, "")</f>
        <v/>
      </c>
      <c r="I15" s="63" t="str">
        <f>iferror('Quarterly Revenue&amp;EBITDA'!I15/'Quarterly Revenue&amp;EBITDA'!I11 - 1, "")</f>
        <v/>
      </c>
      <c r="J15" s="63" t="str">
        <f>iferror('Quarterly Revenue&amp;EBITDA'!J15/'Quarterly Revenue&amp;EBITDA'!J11 - 1, "")</f>
        <v/>
      </c>
      <c r="K15" s="63" t="str">
        <f>iferror('Quarterly Revenue&amp;EBITDA'!K15/'Quarterly Revenue&amp;EBITDA'!K11 - 1, "")</f>
        <v/>
      </c>
      <c r="L15" s="63" t="str">
        <f>iferror('Quarterly Revenue&amp;EBITDA'!L15/'Quarterly Revenue&amp;EBITDA'!L11 - 1, "")</f>
        <v/>
      </c>
      <c r="M15" s="63" t="str">
        <f>iferror('Quarterly Revenue&amp;EBITDA'!M15/'Quarterly Revenue&amp;EBITDA'!M11 - 1, "")</f>
        <v/>
      </c>
      <c r="N15" s="63" t="str">
        <f>iferror('Quarterly Revenue&amp;EBITDA'!N15/'Quarterly Revenue&amp;EBITDA'!N11 - 1, "")</f>
        <v/>
      </c>
      <c r="O15" s="63" t="str">
        <f>iferror('Quarterly Revenue&amp;EBITDA'!O15/'Quarterly Revenue&amp;EBITDA'!O11 - 1, "")</f>
        <v/>
      </c>
      <c r="P15" s="63" t="str">
        <f>iferror('Quarterly Revenue&amp;EBITDA'!P15/'Quarterly Revenue&amp;EBITDA'!P11 - 1, "")</f>
        <v/>
      </c>
      <c r="Q15" s="63" t="str">
        <f>iferror('Quarterly Revenue&amp;EBITDA'!Q15/'Quarterly Revenue&amp;EBITDA'!Q11 - 1, "")</f>
        <v/>
      </c>
      <c r="R15" s="63"/>
      <c r="S15" s="63"/>
      <c r="T15" s="63" t="str">
        <f>iferror('Quarterly Revenue&amp;EBITDA'!T15/'Quarterly Revenue&amp;EBITDA'!T11 - 1, "")</f>
        <v/>
      </c>
      <c r="U15" s="63" t="str">
        <f>iferror('Quarterly Revenue&amp;EBITDA'!U15/'Quarterly Revenue&amp;EBITDA'!U11 - 1, "")</f>
        <v/>
      </c>
      <c r="V15" s="63" t="str">
        <f>iferror('Quarterly Revenue&amp;EBITDA'!V15/'Quarterly Revenue&amp;EBITDA'!V11 - 1, "")</f>
        <v/>
      </c>
      <c r="W15" s="63">
        <f>iferror('Quarterly Revenue&amp;EBITDA'!W15/'Quarterly Revenue&amp;EBITDA'!W11 - 1, "")</f>
        <v>2.001698163</v>
      </c>
      <c r="X15" s="63">
        <f>iferror('Quarterly Revenue&amp;EBITDA'!X15/'Quarterly Revenue&amp;EBITDA'!X11 - 1, "")</f>
        <v>0.1888455045</v>
      </c>
      <c r="Y15" s="43"/>
      <c r="Z15" s="43"/>
      <c r="AA15" s="43"/>
      <c r="AB15" s="43"/>
      <c r="AC15" s="43"/>
      <c r="AD15" s="43"/>
    </row>
    <row r="16">
      <c r="A16" s="42" t="s">
        <v>43</v>
      </c>
      <c r="B16" s="62"/>
      <c r="C16" s="63">
        <f>iferror('Quarterly Revenue&amp;EBITDA'!C16/'Quarterly Revenue&amp;EBITDA'!C12 - 1, "")</f>
        <v>1.560883895</v>
      </c>
      <c r="D16" s="63">
        <f>iferror('Quarterly Revenue&amp;EBITDA'!D16/'Quarterly Revenue&amp;EBITDA'!D12 - 1, "")</f>
        <v>1.445308664</v>
      </c>
      <c r="E16" s="63" t="str">
        <f>iferror('Quarterly Revenue&amp;EBITDA'!E16/'Quarterly Revenue&amp;EBITDA'!E12 - 1, "")</f>
        <v/>
      </c>
      <c r="F16" s="63" t="str">
        <f>iferror('Quarterly Revenue&amp;EBITDA'!F16/'Quarterly Revenue&amp;EBITDA'!F12 - 1, "")</f>
        <v/>
      </c>
      <c r="G16" s="63" t="str">
        <f>iferror('Quarterly Revenue&amp;EBITDA'!G16/'Quarterly Revenue&amp;EBITDA'!G12 - 1, "")</f>
        <v/>
      </c>
      <c r="H16" s="63" t="str">
        <f>iferror('Quarterly Revenue&amp;EBITDA'!H16/'Quarterly Revenue&amp;EBITDA'!H12 - 1, "")</f>
        <v/>
      </c>
      <c r="I16" s="63" t="str">
        <f>iferror('Quarterly Revenue&amp;EBITDA'!I16/'Quarterly Revenue&amp;EBITDA'!I12 - 1, "")</f>
        <v/>
      </c>
      <c r="J16" s="63" t="str">
        <f>iferror('Quarterly Revenue&amp;EBITDA'!J16/'Quarterly Revenue&amp;EBITDA'!J12 - 1, "")</f>
        <v/>
      </c>
      <c r="K16" s="63" t="str">
        <f>iferror('Quarterly Revenue&amp;EBITDA'!K16/'Quarterly Revenue&amp;EBITDA'!K12 - 1, "")</f>
        <v/>
      </c>
      <c r="L16" s="63" t="str">
        <f>iferror('Quarterly Revenue&amp;EBITDA'!L16/'Quarterly Revenue&amp;EBITDA'!L12 - 1, "")</f>
        <v/>
      </c>
      <c r="M16" s="63" t="str">
        <f>iferror('Quarterly Revenue&amp;EBITDA'!M16/'Quarterly Revenue&amp;EBITDA'!M12 - 1, "")</f>
        <v/>
      </c>
      <c r="N16" s="63"/>
      <c r="O16" s="63" t="str">
        <f>iferror('Quarterly Revenue&amp;EBITDA'!O16/'Quarterly Revenue&amp;EBITDA'!O12 - 1, "")</f>
        <v/>
      </c>
      <c r="P16" s="63" t="str">
        <f>iferror('Quarterly Revenue&amp;EBITDA'!P16/'Quarterly Revenue&amp;EBITDA'!P12 - 1, "")</f>
        <v/>
      </c>
      <c r="Q16" s="63" t="str">
        <f>iferror('Quarterly Revenue&amp;EBITDA'!Q16/'Quarterly Revenue&amp;EBITDA'!Q12 - 1, "")</f>
        <v/>
      </c>
      <c r="R16" s="63"/>
      <c r="S16" s="63"/>
      <c r="T16" s="63" t="str">
        <f>iferror('Quarterly Revenue&amp;EBITDA'!T16/'Quarterly Revenue&amp;EBITDA'!T12 - 1, "")</f>
        <v/>
      </c>
      <c r="U16" s="63" t="str">
        <f>iferror('Quarterly Revenue&amp;EBITDA'!U16/'Quarterly Revenue&amp;EBITDA'!U12 - 1, "")</f>
        <v/>
      </c>
      <c r="V16" s="63" t="str">
        <f>iferror('Quarterly Revenue&amp;EBITDA'!V16/'Quarterly Revenue&amp;EBITDA'!V12 - 1, "")</f>
        <v/>
      </c>
      <c r="W16" s="63">
        <f>iferror('Quarterly Revenue&amp;EBITDA'!W16/'Quarterly Revenue&amp;EBITDA'!W12 - 1, "")</f>
        <v>2.001698163</v>
      </c>
      <c r="X16" s="63">
        <f>iferror('Quarterly Revenue&amp;EBITDA'!X16/'Quarterly Revenue&amp;EBITDA'!X12 - 1, "")</f>
        <v>0.1888455045</v>
      </c>
      <c r="Y16" s="43"/>
      <c r="Z16" s="43"/>
      <c r="AA16" s="43"/>
      <c r="AB16" s="43"/>
      <c r="AC16" s="43"/>
      <c r="AD16" s="43"/>
    </row>
    <row r="17">
      <c r="A17" s="42" t="s">
        <v>44</v>
      </c>
      <c r="B17" s="62"/>
      <c r="C17" s="63">
        <f>iferror('Quarterly Revenue&amp;EBITDA'!C17/'Quarterly Revenue&amp;EBITDA'!C13 - 1, "")</f>
        <v>1.560883895</v>
      </c>
      <c r="D17" s="63">
        <f>iferror('Quarterly Revenue&amp;EBITDA'!D17/'Quarterly Revenue&amp;EBITDA'!D13 - 1, "")</f>
        <v>1.445308664</v>
      </c>
      <c r="E17" s="63" t="str">
        <f>iferror('Quarterly Revenue&amp;EBITDA'!E17/'Quarterly Revenue&amp;EBITDA'!E13 - 1, "")</f>
        <v/>
      </c>
      <c r="F17" s="63" t="str">
        <f>iferror('Quarterly Revenue&amp;EBITDA'!F17/'Quarterly Revenue&amp;EBITDA'!F13 - 1, "")</f>
        <v/>
      </c>
      <c r="G17" s="63" t="str">
        <f>iferror('Quarterly Revenue&amp;EBITDA'!G17/'Quarterly Revenue&amp;EBITDA'!G13 - 1, "")</f>
        <v/>
      </c>
      <c r="H17" s="63" t="str">
        <f>iferror('Quarterly Revenue&amp;EBITDA'!H17/'Quarterly Revenue&amp;EBITDA'!H13 - 1, "")</f>
        <v/>
      </c>
      <c r="I17" s="63" t="str">
        <f>iferror('Quarterly Revenue&amp;EBITDA'!I17/'Quarterly Revenue&amp;EBITDA'!I13 - 1, "")</f>
        <v/>
      </c>
      <c r="J17" s="63" t="str">
        <f>iferror('Quarterly Revenue&amp;EBITDA'!J17/'Quarterly Revenue&amp;EBITDA'!J13 - 1, "")</f>
        <v/>
      </c>
      <c r="K17" s="63" t="str">
        <f>iferror('Quarterly Revenue&amp;EBITDA'!K17/'Quarterly Revenue&amp;EBITDA'!K13 - 1, "")</f>
        <v/>
      </c>
      <c r="L17" s="63" t="str">
        <f>iferror('Quarterly Revenue&amp;EBITDA'!L17/'Quarterly Revenue&amp;EBITDA'!L13 - 1, "")</f>
        <v/>
      </c>
      <c r="M17" s="63" t="str">
        <f>iferror('Quarterly Revenue&amp;EBITDA'!M17/'Quarterly Revenue&amp;EBITDA'!M13 - 1, "")</f>
        <v/>
      </c>
      <c r="N17" s="63" t="str">
        <f>iferror('Quarterly Revenue&amp;EBITDA'!N17/'Quarterly Revenue&amp;EBITDA'!N13 - 1, "")</f>
        <v/>
      </c>
      <c r="O17" s="63" t="str">
        <f>iferror('Quarterly Revenue&amp;EBITDA'!O17/'Quarterly Revenue&amp;EBITDA'!O13 - 1, "")</f>
        <v/>
      </c>
      <c r="P17" s="63" t="str">
        <f>iferror('Quarterly Revenue&amp;EBITDA'!P17/'Quarterly Revenue&amp;EBITDA'!P13 - 1, "")</f>
        <v/>
      </c>
      <c r="Q17" s="63" t="str">
        <f>iferror('Quarterly Revenue&amp;EBITDA'!Q17/'Quarterly Revenue&amp;EBITDA'!Q13 - 1, "")</f>
        <v/>
      </c>
      <c r="R17" s="63"/>
      <c r="S17" s="63"/>
      <c r="T17" s="63" t="str">
        <f>iferror('Quarterly Revenue&amp;EBITDA'!T17/'Quarterly Revenue&amp;EBITDA'!T13 - 1, "")</f>
        <v/>
      </c>
      <c r="U17" s="63" t="str">
        <f>iferror('Quarterly Revenue&amp;EBITDA'!U17/'Quarterly Revenue&amp;EBITDA'!U13 - 1, "")</f>
        <v/>
      </c>
      <c r="V17" s="63" t="str">
        <f>iferror('Quarterly Revenue&amp;EBITDA'!V17/'Quarterly Revenue&amp;EBITDA'!V13 - 1, "")</f>
        <v/>
      </c>
      <c r="W17" s="63">
        <f>iferror('Quarterly Revenue&amp;EBITDA'!W17/'Quarterly Revenue&amp;EBITDA'!W13 - 1, "")</f>
        <v>2.001698163</v>
      </c>
      <c r="X17" s="63">
        <f>iferror('Quarterly Revenue&amp;EBITDA'!X17/'Quarterly Revenue&amp;EBITDA'!X13 - 1, "")</f>
        <v>0.06107363498</v>
      </c>
      <c r="Y17" s="43"/>
      <c r="Z17" s="43"/>
      <c r="AA17" s="43"/>
      <c r="AB17" s="43"/>
      <c r="AC17" s="43"/>
      <c r="AD17" s="43"/>
    </row>
    <row r="18">
      <c r="A18" s="42" t="s">
        <v>45</v>
      </c>
      <c r="B18" s="62"/>
      <c r="C18" s="63">
        <f>iferror('Quarterly Revenue&amp;EBITDA'!C18/'Quarterly Revenue&amp;EBITDA'!C14 - 1, "")</f>
        <v>1.560883895</v>
      </c>
      <c r="D18" s="63">
        <f>iferror('Quarterly Revenue&amp;EBITDA'!D18/'Quarterly Revenue&amp;EBITDA'!D14 - 1, "")</f>
        <v>1.445308664</v>
      </c>
      <c r="E18" s="63" t="str">
        <f>iferror('Quarterly Revenue&amp;EBITDA'!E18/'Quarterly Revenue&amp;EBITDA'!E14 - 1, "")</f>
        <v/>
      </c>
      <c r="F18" s="63" t="str">
        <f>iferror('Quarterly Revenue&amp;EBITDA'!F18/'Quarterly Revenue&amp;EBITDA'!F14 - 1, "")</f>
        <v/>
      </c>
      <c r="G18" s="63" t="str">
        <f>iferror('Quarterly Revenue&amp;EBITDA'!G18/'Quarterly Revenue&amp;EBITDA'!G14 - 1, "")</f>
        <v/>
      </c>
      <c r="H18" s="63" t="str">
        <f>iferror('Quarterly Revenue&amp;EBITDA'!H18/'Quarterly Revenue&amp;EBITDA'!H14 - 1, "")</f>
        <v/>
      </c>
      <c r="I18" s="63" t="str">
        <f>iferror('Quarterly Revenue&amp;EBITDA'!I18/'Quarterly Revenue&amp;EBITDA'!I14 - 1, "")</f>
        <v/>
      </c>
      <c r="J18" s="63" t="str">
        <f>iferror('Quarterly Revenue&amp;EBITDA'!J18/'Quarterly Revenue&amp;EBITDA'!J14 - 1, "")</f>
        <v/>
      </c>
      <c r="K18" s="63" t="str">
        <f>iferror('Quarterly Revenue&amp;EBITDA'!K18/'Quarterly Revenue&amp;EBITDA'!K14 - 1, "")</f>
        <v/>
      </c>
      <c r="L18" s="63" t="str">
        <f>iferror('Quarterly Revenue&amp;EBITDA'!L18/'Quarterly Revenue&amp;EBITDA'!L14 - 1, "")</f>
        <v/>
      </c>
      <c r="M18" s="63" t="str">
        <f>iferror('Quarterly Revenue&amp;EBITDA'!M18/'Quarterly Revenue&amp;EBITDA'!M14 - 1, "")</f>
        <v/>
      </c>
      <c r="N18" s="63" t="str">
        <f>iferror('Quarterly Revenue&amp;EBITDA'!N18/'Quarterly Revenue&amp;EBITDA'!N14 - 1, "")</f>
        <v/>
      </c>
      <c r="O18" s="63" t="str">
        <f>iferror('Quarterly Revenue&amp;EBITDA'!O18/'Quarterly Revenue&amp;EBITDA'!O14 - 1, "")</f>
        <v/>
      </c>
      <c r="P18" s="63" t="str">
        <f>iferror('Quarterly Revenue&amp;EBITDA'!P18/'Quarterly Revenue&amp;EBITDA'!P14 - 1, "")</f>
        <v/>
      </c>
      <c r="Q18" s="63" t="str">
        <f>iferror('Quarterly Revenue&amp;EBITDA'!Q18/'Quarterly Revenue&amp;EBITDA'!Q14 - 1, "")</f>
        <v/>
      </c>
      <c r="R18" s="63"/>
      <c r="S18" s="63"/>
      <c r="T18" s="63" t="str">
        <f>iferror('Quarterly Revenue&amp;EBITDA'!T18/'Quarterly Revenue&amp;EBITDA'!T14 - 1, "")</f>
        <v/>
      </c>
      <c r="U18" s="63" t="str">
        <f>iferror('Quarterly Revenue&amp;EBITDA'!U18/'Quarterly Revenue&amp;EBITDA'!U14 - 1, "")</f>
        <v/>
      </c>
      <c r="V18" s="63" t="str">
        <f>iferror('Quarterly Revenue&amp;EBITDA'!V18/'Quarterly Revenue&amp;EBITDA'!V14 - 1, "")</f>
        <v/>
      </c>
      <c r="W18" s="63">
        <f>iferror('Quarterly Revenue&amp;EBITDA'!W18/'Quarterly Revenue&amp;EBITDA'!W14 - 1, "")</f>
        <v>2.001698163</v>
      </c>
      <c r="X18" s="63">
        <f>iferror('Quarterly Revenue&amp;EBITDA'!X18/'Quarterly Revenue&amp;EBITDA'!X14 - 1, "")</f>
        <v>0.06107363498</v>
      </c>
      <c r="Y18" s="43"/>
      <c r="Z18" s="43"/>
      <c r="AA18" s="43"/>
      <c r="AB18" s="43"/>
      <c r="AC18" s="43"/>
      <c r="AD18" s="43"/>
    </row>
    <row r="19">
      <c r="A19" s="42" t="s">
        <v>46</v>
      </c>
      <c r="B19" s="62"/>
      <c r="C19" s="63">
        <f>iferror('Quarterly Revenue&amp;EBITDA'!C19/'Quarterly Revenue&amp;EBITDA'!C15 - 1, "")</f>
        <v>-0.05151627494</v>
      </c>
      <c r="D19" s="63">
        <f>iferror('Quarterly Revenue&amp;EBITDA'!D19/'Quarterly Revenue&amp;EBITDA'!D15 - 1, "")</f>
        <v>1.348279105</v>
      </c>
      <c r="E19" s="63">
        <f>iferror('Quarterly Revenue&amp;EBITDA'!E19/'Quarterly Revenue&amp;EBITDA'!E15 - 1, "")</f>
        <v>5.812820513</v>
      </c>
      <c r="F19" s="63" t="str">
        <f>iferror('Quarterly Revenue&amp;EBITDA'!F19/'Quarterly Revenue&amp;EBITDA'!F15 - 1, "")</f>
        <v/>
      </c>
      <c r="G19" s="63" t="str">
        <f>iferror('Quarterly Revenue&amp;EBITDA'!G19/'Quarterly Revenue&amp;EBITDA'!G15 - 1, "")</f>
        <v/>
      </c>
      <c r="H19" s="63" t="str">
        <f>iferror('Quarterly Revenue&amp;EBITDA'!H19/'Quarterly Revenue&amp;EBITDA'!H15 - 1, "")</f>
        <v/>
      </c>
      <c r="I19" s="63" t="str">
        <f>iferror('Quarterly Revenue&amp;EBITDA'!I19/'Quarterly Revenue&amp;EBITDA'!I15 - 1, "")</f>
        <v/>
      </c>
      <c r="J19" s="63" t="str">
        <f>iferror('Quarterly Revenue&amp;EBITDA'!J19/'Quarterly Revenue&amp;EBITDA'!J15 - 1, "")</f>
        <v/>
      </c>
      <c r="K19" s="63" t="str">
        <f>iferror('Quarterly Revenue&amp;EBITDA'!K19/'Quarterly Revenue&amp;EBITDA'!K15 - 1, "")</f>
        <v/>
      </c>
      <c r="L19" s="63" t="str">
        <f>iferror('Quarterly Revenue&amp;EBITDA'!L19/'Quarterly Revenue&amp;EBITDA'!L15 - 1, "")</f>
        <v/>
      </c>
      <c r="M19" s="63" t="str">
        <f>iferror('Quarterly Revenue&amp;EBITDA'!M19/'Quarterly Revenue&amp;EBITDA'!M15 - 1, "")</f>
        <v/>
      </c>
      <c r="N19" s="63" t="str">
        <f>iferror('Quarterly Revenue&amp;EBITDA'!N19/'Quarterly Revenue&amp;EBITDA'!N15 - 1, "")</f>
        <v/>
      </c>
      <c r="O19" s="63" t="str">
        <f>iferror('Quarterly Revenue&amp;EBITDA'!O19/'Quarterly Revenue&amp;EBITDA'!O15 - 1, "")</f>
        <v/>
      </c>
      <c r="P19" s="63" t="str">
        <f>iferror('Quarterly Revenue&amp;EBITDA'!P19/'Quarterly Revenue&amp;EBITDA'!P15 - 1, "")</f>
        <v/>
      </c>
      <c r="Q19" s="63" t="str">
        <f>iferror('Quarterly Revenue&amp;EBITDA'!Q19/'Quarterly Revenue&amp;EBITDA'!Q15 - 1, "")</f>
        <v/>
      </c>
      <c r="R19" s="63"/>
      <c r="S19" s="63">
        <f>iferror('Quarterly Revenue&amp;EBITDA'!S19/'Quarterly Revenue&amp;EBITDA'!S15 - 1, "")</f>
        <v>3.924463051</v>
      </c>
      <c r="T19" s="63" t="str">
        <f>iferror('Quarterly Revenue&amp;EBITDA'!T19/'Quarterly Revenue&amp;EBITDA'!T15 - 1, "")</f>
        <v/>
      </c>
      <c r="U19" s="63" t="str">
        <f>iferror('Quarterly Revenue&amp;EBITDA'!U19/'Quarterly Revenue&amp;EBITDA'!U15 - 1, "")</f>
        <v/>
      </c>
      <c r="V19" s="63" t="str">
        <f>iferror('Quarterly Revenue&amp;EBITDA'!V19/'Quarterly Revenue&amp;EBITDA'!V15 - 1, "")</f>
        <v/>
      </c>
      <c r="W19" s="63">
        <f>iferror('Quarterly Revenue&amp;EBITDA'!W19/'Quarterly Revenue&amp;EBITDA'!W15 - 1, "")</f>
        <v>0.566253179</v>
      </c>
      <c r="X19" s="63">
        <f>iferror('Quarterly Revenue&amp;EBITDA'!X19/'Quarterly Revenue&amp;EBITDA'!X15 - 1, "")</f>
        <v>0.06107363498</v>
      </c>
      <c r="Y19" s="43"/>
      <c r="Z19" s="43"/>
      <c r="AA19" s="43"/>
      <c r="AB19" s="43"/>
      <c r="AC19" s="43"/>
      <c r="AD19" s="43"/>
    </row>
    <row r="20">
      <c r="A20" s="42" t="s">
        <v>47</v>
      </c>
      <c r="B20" s="62"/>
      <c r="C20" s="63">
        <f>iferror('Quarterly Revenue&amp;EBITDA'!C20/'Quarterly Revenue&amp;EBITDA'!C16 - 1, "")</f>
        <v>-0.05151627494</v>
      </c>
      <c r="D20" s="63">
        <f>iferror('Quarterly Revenue&amp;EBITDA'!D20/'Quarterly Revenue&amp;EBITDA'!D16 - 1, "")</f>
        <v>1.348279105</v>
      </c>
      <c r="E20" s="63">
        <f>iferror('Quarterly Revenue&amp;EBITDA'!E20/'Quarterly Revenue&amp;EBITDA'!E16 - 1, "")</f>
        <v>5.812820513</v>
      </c>
      <c r="F20" s="63" t="str">
        <f>iferror('Quarterly Revenue&amp;EBITDA'!F20/'Quarterly Revenue&amp;EBITDA'!F16 - 1, "")</f>
        <v/>
      </c>
      <c r="G20" s="63" t="str">
        <f>iferror('Quarterly Revenue&amp;EBITDA'!G20/'Quarterly Revenue&amp;EBITDA'!G16 - 1, "")</f>
        <v/>
      </c>
      <c r="H20" s="63" t="str">
        <f>iferror('Quarterly Revenue&amp;EBITDA'!H20/'Quarterly Revenue&amp;EBITDA'!H16 - 1, "")</f>
        <v/>
      </c>
      <c r="I20" s="63" t="str">
        <f>iferror('Quarterly Revenue&amp;EBITDA'!I20/'Quarterly Revenue&amp;EBITDA'!I16 - 1, "")</f>
        <v/>
      </c>
      <c r="J20" s="63" t="str">
        <f>iferror('Quarterly Revenue&amp;EBITDA'!J20/'Quarterly Revenue&amp;EBITDA'!J16 - 1, "")</f>
        <v/>
      </c>
      <c r="K20" s="63" t="str">
        <f>iferror('Quarterly Revenue&amp;EBITDA'!K20/'Quarterly Revenue&amp;EBITDA'!K16 - 1, "")</f>
        <v/>
      </c>
      <c r="L20" s="63" t="str">
        <f>iferror('Quarterly Revenue&amp;EBITDA'!L20/'Quarterly Revenue&amp;EBITDA'!L16 - 1, "")</f>
        <v/>
      </c>
      <c r="M20" s="63" t="str">
        <f>iferror('Quarterly Revenue&amp;EBITDA'!M20/'Quarterly Revenue&amp;EBITDA'!M16 - 1, "")</f>
        <v/>
      </c>
      <c r="N20" s="63" t="str">
        <f>iferror('Quarterly Revenue&amp;EBITDA'!N20/'Quarterly Revenue&amp;EBITDA'!N16 - 1, "")</f>
        <v/>
      </c>
      <c r="O20" s="63" t="str">
        <f>iferror('Quarterly Revenue&amp;EBITDA'!O20/'Quarterly Revenue&amp;EBITDA'!O16 - 1, "")</f>
        <v/>
      </c>
      <c r="P20" s="63" t="str">
        <f>iferror('Quarterly Revenue&amp;EBITDA'!P20/'Quarterly Revenue&amp;EBITDA'!P16 - 1, "")</f>
        <v/>
      </c>
      <c r="Q20" s="63" t="str">
        <f>iferror('Quarterly Revenue&amp;EBITDA'!Q20/'Quarterly Revenue&amp;EBITDA'!Q16 - 1, "")</f>
        <v/>
      </c>
      <c r="R20" s="63"/>
      <c r="S20" s="63">
        <f>iferror('Quarterly Revenue&amp;EBITDA'!S20/'Quarterly Revenue&amp;EBITDA'!S16 - 1, "")</f>
        <v>3.924463051</v>
      </c>
      <c r="T20" s="63" t="str">
        <f>iferror('Quarterly Revenue&amp;EBITDA'!T20/'Quarterly Revenue&amp;EBITDA'!T16 - 1, "")</f>
        <v/>
      </c>
      <c r="U20" s="63" t="str">
        <f>iferror('Quarterly Revenue&amp;EBITDA'!U20/'Quarterly Revenue&amp;EBITDA'!U16 - 1, "")</f>
        <v/>
      </c>
      <c r="V20" s="63" t="str">
        <f>iferror('Quarterly Revenue&amp;EBITDA'!V20/'Quarterly Revenue&amp;EBITDA'!V16 - 1, "")</f>
        <v/>
      </c>
      <c r="W20" s="63">
        <f>iferror('Quarterly Revenue&amp;EBITDA'!W20/'Quarterly Revenue&amp;EBITDA'!W16 - 1, "")</f>
        <v>0.566253179</v>
      </c>
      <c r="X20" s="63">
        <f>iferror('Quarterly Revenue&amp;EBITDA'!X20/'Quarterly Revenue&amp;EBITDA'!X16 - 1, "")</f>
        <v>0.06107363498</v>
      </c>
      <c r="Y20" s="43"/>
      <c r="Z20" s="43"/>
      <c r="AA20" s="43"/>
      <c r="AB20" s="43"/>
      <c r="AC20" s="43"/>
      <c r="AD20" s="43"/>
    </row>
    <row r="21">
      <c r="A21" s="42" t="s">
        <v>48</v>
      </c>
      <c r="B21" s="62"/>
      <c r="C21" s="63">
        <f>iferror('Quarterly Revenue&amp;EBITDA'!C21/'Quarterly Revenue&amp;EBITDA'!C17 - 1, "")</f>
        <v>-0.05151627494</v>
      </c>
      <c r="D21" s="63">
        <f>iferror('Quarterly Revenue&amp;EBITDA'!D21/'Quarterly Revenue&amp;EBITDA'!D17 - 1, "")</f>
        <v>1.348279105</v>
      </c>
      <c r="E21" s="63">
        <f>iferror('Quarterly Revenue&amp;EBITDA'!E21/'Quarterly Revenue&amp;EBITDA'!E17 - 1, "")</f>
        <v>5.812820513</v>
      </c>
      <c r="F21" s="63" t="str">
        <f>iferror('Quarterly Revenue&amp;EBITDA'!F21/'Quarterly Revenue&amp;EBITDA'!F17 - 1, "")</f>
        <v/>
      </c>
      <c r="G21" s="63" t="str">
        <f>iferror('Quarterly Revenue&amp;EBITDA'!G21/'Quarterly Revenue&amp;EBITDA'!G17 - 1, "")</f>
        <v/>
      </c>
      <c r="H21" s="63" t="str">
        <f>iferror('Quarterly Revenue&amp;EBITDA'!H21/'Quarterly Revenue&amp;EBITDA'!H17 - 1, "")</f>
        <v/>
      </c>
      <c r="I21" s="63" t="str">
        <f>iferror('Quarterly Revenue&amp;EBITDA'!I21/'Quarterly Revenue&amp;EBITDA'!I17 - 1, "")</f>
        <v/>
      </c>
      <c r="J21" s="63" t="str">
        <f>iferror('Quarterly Revenue&amp;EBITDA'!J21/'Quarterly Revenue&amp;EBITDA'!J17 - 1, "")</f>
        <v/>
      </c>
      <c r="K21" s="63" t="str">
        <f>iferror('Quarterly Revenue&amp;EBITDA'!K21/'Quarterly Revenue&amp;EBITDA'!K17 - 1, "")</f>
        <v/>
      </c>
      <c r="L21" s="63" t="str">
        <f>iferror('Quarterly Revenue&amp;EBITDA'!L21/'Quarterly Revenue&amp;EBITDA'!L17 - 1, "")</f>
        <v/>
      </c>
      <c r="M21" s="63" t="str">
        <f>iferror('Quarterly Revenue&amp;EBITDA'!M21/'Quarterly Revenue&amp;EBITDA'!M17 - 1, "")</f>
        <v/>
      </c>
      <c r="N21" s="63" t="str">
        <f>iferror('Quarterly Revenue&amp;EBITDA'!N21/'Quarterly Revenue&amp;EBITDA'!N17 - 1, "")</f>
        <v/>
      </c>
      <c r="O21" s="63" t="str">
        <f>iferror('Quarterly Revenue&amp;EBITDA'!O21/'Quarterly Revenue&amp;EBITDA'!O17 - 1, "")</f>
        <v/>
      </c>
      <c r="P21" s="63" t="str">
        <f>iferror('Quarterly Revenue&amp;EBITDA'!P21/'Quarterly Revenue&amp;EBITDA'!P17 - 1, "")</f>
        <v/>
      </c>
      <c r="Q21" s="63" t="str">
        <f>iferror('Quarterly Revenue&amp;EBITDA'!Q21/'Quarterly Revenue&amp;EBITDA'!Q17 - 1, "")</f>
        <v/>
      </c>
      <c r="R21" s="63"/>
      <c r="S21" s="63">
        <f>iferror('Quarterly Revenue&amp;EBITDA'!S21/'Quarterly Revenue&amp;EBITDA'!S17 - 1, "")</f>
        <v>3.924463051</v>
      </c>
      <c r="T21" s="63" t="str">
        <f>iferror('Quarterly Revenue&amp;EBITDA'!T21/'Quarterly Revenue&amp;EBITDA'!T17 - 1, "")</f>
        <v/>
      </c>
      <c r="U21" s="63" t="str">
        <f>iferror('Quarterly Revenue&amp;EBITDA'!U21/'Quarterly Revenue&amp;EBITDA'!U17 - 1, "")</f>
        <v/>
      </c>
      <c r="V21" s="63" t="str">
        <f>iferror('Quarterly Revenue&amp;EBITDA'!V21/'Quarterly Revenue&amp;EBITDA'!V17 - 1, "")</f>
        <v/>
      </c>
      <c r="W21" s="63">
        <f>iferror('Quarterly Revenue&amp;EBITDA'!W21/'Quarterly Revenue&amp;EBITDA'!W17 - 1, "")</f>
        <v>0.566253179</v>
      </c>
      <c r="X21" s="63">
        <f>iferror('Quarterly Revenue&amp;EBITDA'!X21/'Quarterly Revenue&amp;EBITDA'!X17 - 1, "")</f>
        <v>0.3312628127</v>
      </c>
      <c r="Y21" s="43"/>
      <c r="Z21" s="43"/>
      <c r="AA21" s="43"/>
      <c r="AB21" s="43"/>
      <c r="AC21" s="43"/>
      <c r="AD21" s="43"/>
    </row>
    <row r="22">
      <c r="A22" s="42" t="s">
        <v>49</v>
      </c>
      <c r="B22" s="62"/>
      <c r="C22" s="63">
        <f>iferror('Quarterly Revenue&amp;EBITDA'!C22/'Quarterly Revenue&amp;EBITDA'!C18 - 1, "")</f>
        <v>-0.05151627494</v>
      </c>
      <c r="D22" s="63">
        <f>iferror('Quarterly Revenue&amp;EBITDA'!D22/'Quarterly Revenue&amp;EBITDA'!D18 - 1, "")</f>
        <v>1.348279105</v>
      </c>
      <c r="E22" s="63">
        <f>iferror('Quarterly Revenue&amp;EBITDA'!E22/'Quarterly Revenue&amp;EBITDA'!E18 - 1, "")</f>
        <v>5.812820513</v>
      </c>
      <c r="F22" s="63" t="str">
        <f>iferror('Quarterly Revenue&amp;EBITDA'!F22/'Quarterly Revenue&amp;EBITDA'!F18 - 1, "")</f>
        <v/>
      </c>
      <c r="G22" s="63" t="str">
        <f>iferror('Quarterly Revenue&amp;EBITDA'!G22/'Quarterly Revenue&amp;EBITDA'!G18 - 1, "")</f>
        <v/>
      </c>
      <c r="H22" s="63" t="str">
        <f>iferror('Quarterly Revenue&amp;EBITDA'!H22/'Quarterly Revenue&amp;EBITDA'!H18 - 1, "")</f>
        <v/>
      </c>
      <c r="I22" s="63" t="str">
        <f>iferror('Quarterly Revenue&amp;EBITDA'!I22/'Quarterly Revenue&amp;EBITDA'!I18 - 1, "")</f>
        <v/>
      </c>
      <c r="J22" s="63" t="str">
        <f>iferror('Quarterly Revenue&amp;EBITDA'!J22/'Quarterly Revenue&amp;EBITDA'!J18 - 1, "")</f>
        <v/>
      </c>
      <c r="K22" s="63" t="str">
        <f>iferror('Quarterly Revenue&amp;EBITDA'!K22/'Quarterly Revenue&amp;EBITDA'!K18 - 1, "")</f>
        <v/>
      </c>
      <c r="L22" s="63" t="str">
        <f>iferror('Quarterly Revenue&amp;EBITDA'!L22/'Quarterly Revenue&amp;EBITDA'!L18 - 1, "")</f>
        <v/>
      </c>
      <c r="M22" s="63" t="str">
        <f>iferror('Quarterly Revenue&amp;EBITDA'!M22/'Quarterly Revenue&amp;EBITDA'!M18 - 1, "")</f>
        <v/>
      </c>
      <c r="N22" s="63" t="str">
        <f>iferror('Quarterly Revenue&amp;EBITDA'!N22/'Quarterly Revenue&amp;EBITDA'!N18 - 1, "")</f>
        <v/>
      </c>
      <c r="O22" s="63" t="str">
        <f>iferror('Quarterly Revenue&amp;EBITDA'!O22/'Quarterly Revenue&amp;EBITDA'!O18 - 1, "")</f>
        <v/>
      </c>
      <c r="P22" s="63" t="str">
        <f>iferror('Quarterly Revenue&amp;EBITDA'!P22/'Quarterly Revenue&amp;EBITDA'!P18 - 1, "")</f>
        <v/>
      </c>
      <c r="Q22" s="63" t="str">
        <f>iferror('Quarterly Revenue&amp;EBITDA'!Q22/'Quarterly Revenue&amp;EBITDA'!Q18 - 1, "")</f>
        <v/>
      </c>
      <c r="R22" s="63"/>
      <c r="S22" s="63">
        <f>iferror('Quarterly Revenue&amp;EBITDA'!S22/'Quarterly Revenue&amp;EBITDA'!S18 - 1, "")</f>
        <v>3.924463051</v>
      </c>
      <c r="T22" s="63" t="str">
        <f>iferror('Quarterly Revenue&amp;EBITDA'!T22/'Quarterly Revenue&amp;EBITDA'!T18 - 1, "")</f>
        <v/>
      </c>
      <c r="U22" s="63" t="str">
        <f>iferror('Quarterly Revenue&amp;EBITDA'!U22/'Quarterly Revenue&amp;EBITDA'!U18 - 1, "")</f>
        <v/>
      </c>
      <c r="V22" s="63" t="str">
        <f>iferror('Quarterly Revenue&amp;EBITDA'!V22/'Quarterly Revenue&amp;EBITDA'!V18 - 1, "")</f>
        <v/>
      </c>
      <c r="W22" s="63">
        <f>iferror('Quarterly Revenue&amp;EBITDA'!W22/'Quarterly Revenue&amp;EBITDA'!W18 - 1, "")</f>
        <v>0.566253179</v>
      </c>
      <c r="X22" s="63">
        <f>iferror('Quarterly Revenue&amp;EBITDA'!X22/'Quarterly Revenue&amp;EBITDA'!X18 - 1, "")</f>
        <v>0.3312628127</v>
      </c>
      <c r="Y22" s="43"/>
      <c r="Z22" s="43"/>
      <c r="AA22" s="43"/>
      <c r="AB22" s="43"/>
      <c r="AC22" s="43"/>
      <c r="AD22" s="43"/>
    </row>
    <row r="23">
      <c r="A23" s="42" t="s">
        <v>50</v>
      </c>
      <c r="B23" s="62"/>
      <c r="C23" s="63">
        <f>iferror('Quarterly Revenue&amp;EBITDA'!C23/'Quarterly Revenue&amp;EBITDA'!C19 - 1, "")</f>
        <v>-0.1435003793</v>
      </c>
      <c r="D23" s="63">
        <f>iferror('Quarterly Revenue&amp;EBITDA'!D23/'Quarterly Revenue&amp;EBITDA'!D19 - 1, "")</f>
        <v>5.745904959</v>
      </c>
      <c r="E23" s="63">
        <f>iferror('Quarterly Revenue&amp;EBITDA'!E23/'Quarterly Revenue&amp;EBITDA'!E19 - 1, "")</f>
        <v>1.297704178</v>
      </c>
      <c r="F23" s="63" t="str">
        <f>iferror('Quarterly Revenue&amp;EBITDA'!F23/'Quarterly Revenue&amp;EBITDA'!F19 - 1, "")</f>
        <v/>
      </c>
      <c r="G23" s="63" t="str">
        <f>iferror('Quarterly Revenue&amp;EBITDA'!G23/'Quarterly Revenue&amp;EBITDA'!G19 - 1, "")</f>
        <v/>
      </c>
      <c r="H23" s="63" t="str">
        <f>iferror('Quarterly Revenue&amp;EBITDA'!H23/'Quarterly Revenue&amp;EBITDA'!H19 - 1, "")</f>
        <v/>
      </c>
      <c r="I23" s="63" t="str">
        <f>iferror('Quarterly Revenue&amp;EBITDA'!I23/'Quarterly Revenue&amp;EBITDA'!I19 - 1, "")</f>
        <v/>
      </c>
      <c r="J23" s="63" t="str">
        <f>iferror('Quarterly Revenue&amp;EBITDA'!J23/'Quarterly Revenue&amp;EBITDA'!J19 - 1, "")</f>
        <v/>
      </c>
      <c r="K23" s="63" t="str">
        <f>iferror('Quarterly Revenue&amp;EBITDA'!K23/'Quarterly Revenue&amp;EBITDA'!K19 - 1, "")</f>
        <v/>
      </c>
      <c r="L23" s="63" t="str">
        <f>iferror('Quarterly Revenue&amp;EBITDA'!L23/'Quarterly Revenue&amp;EBITDA'!L19 - 1, "")</f>
        <v/>
      </c>
      <c r="M23" s="63" t="str">
        <f>iferror('Quarterly Revenue&amp;EBITDA'!M23/'Quarterly Revenue&amp;EBITDA'!M19 - 1, "")</f>
        <v/>
      </c>
      <c r="N23" s="63" t="str">
        <f>iferror('Quarterly Revenue&amp;EBITDA'!N23/'Quarterly Revenue&amp;EBITDA'!N19 - 1, "")</f>
        <v/>
      </c>
      <c r="O23" s="63">
        <f>iferror('Quarterly Revenue&amp;EBITDA'!O23/'Quarterly Revenue&amp;EBITDA'!O19 - 1, "")</f>
        <v>2.823741007</v>
      </c>
      <c r="P23" s="63" t="str">
        <f>iferror('Quarterly Revenue&amp;EBITDA'!P23/'Quarterly Revenue&amp;EBITDA'!P19 - 1, "")</f>
        <v/>
      </c>
      <c r="Q23" s="63" t="str">
        <f>iferror('Quarterly Revenue&amp;EBITDA'!Q23/'Quarterly Revenue&amp;EBITDA'!Q19 - 1, "")</f>
        <v/>
      </c>
      <c r="R23" s="63"/>
      <c r="S23" s="63">
        <f>iferror('Quarterly Revenue&amp;EBITDA'!S23/'Quarterly Revenue&amp;EBITDA'!S19 - 1, "")</f>
        <v>1.024653484</v>
      </c>
      <c r="T23" s="63" t="str">
        <f>iferror('Quarterly Revenue&amp;EBITDA'!T23/'Quarterly Revenue&amp;EBITDA'!T19 - 1, "")</f>
        <v/>
      </c>
      <c r="U23" s="63" t="str">
        <f>iferror('Quarterly Revenue&amp;EBITDA'!U23/'Quarterly Revenue&amp;EBITDA'!U19 - 1, "")</f>
        <v/>
      </c>
      <c r="V23" s="63">
        <f>iferror('Quarterly Revenue&amp;EBITDA'!V23/'Quarterly Revenue&amp;EBITDA'!V19 - 1, "")</f>
        <v>3.043729696</v>
      </c>
      <c r="W23" s="63"/>
      <c r="X23" s="63">
        <f>iferror('Quarterly Revenue&amp;EBITDA'!X23/'Quarterly Revenue&amp;EBITDA'!X19 - 1, "")</f>
        <v>0.3312628127</v>
      </c>
      <c r="Y23" s="43"/>
      <c r="Z23" s="43"/>
      <c r="AA23" s="43"/>
      <c r="AB23" s="43"/>
      <c r="AC23" s="43"/>
      <c r="AD23" s="43"/>
    </row>
    <row r="24">
      <c r="A24" s="42" t="s">
        <v>51</v>
      </c>
      <c r="B24" s="62"/>
      <c r="C24" s="63">
        <f>iferror('Quarterly Revenue&amp;EBITDA'!C24/'Quarterly Revenue&amp;EBITDA'!C20 - 1, "")</f>
        <v>-0.1435003793</v>
      </c>
      <c r="D24" s="63">
        <f>iferror('Quarterly Revenue&amp;EBITDA'!D24/'Quarterly Revenue&amp;EBITDA'!D20 - 1, "")</f>
        <v>5.745904959</v>
      </c>
      <c r="E24" s="63">
        <f>iferror('Quarterly Revenue&amp;EBITDA'!E24/'Quarterly Revenue&amp;EBITDA'!E20 - 1, "")</f>
        <v>1.297704178</v>
      </c>
      <c r="F24" s="63" t="str">
        <f>iferror('Quarterly Revenue&amp;EBITDA'!F24/'Quarterly Revenue&amp;EBITDA'!F20 - 1, "")</f>
        <v/>
      </c>
      <c r="G24" s="63" t="str">
        <f>iferror('Quarterly Revenue&amp;EBITDA'!G24/'Quarterly Revenue&amp;EBITDA'!G20 - 1, "")</f>
        <v/>
      </c>
      <c r="H24" s="63" t="str">
        <f>iferror('Quarterly Revenue&amp;EBITDA'!H24/'Quarterly Revenue&amp;EBITDA'!H20 - 1, "")</f>
        <v/>
      </c>
      <c r="I24" s="63" t="str">
        <f>iferror('Quarterly Revenue&amp;EBITDA'!I24/'Quarterly Revenue&amp;EBITDA'!I20 - 1, "")</f>
        <v/>
      </c>
      <c r="J24" s="63" t="str">
        <f>iferror('Quarterly Revenue&amp;EBITDA'!J24/'Quarterly Revenue&amp;EBITDA'!J20 - 1, "")</f>
        <v/>
      </c>
      <c r="K24" s="63" t="str">
        <f>iferror('Quarterly Revenue&amp;EBITDA'!K24/'Quarterly Revenue&amp;EBITDA'!K20 - 1, "")</f>
        <v/>
      </c>
      <c r="L24" s="63" t="str">
        <f>iferror('Quarterly Revenue&amp;EBITDA'!L24/'Quarterly Revenue&amp;EBITDA'!L20 - 1, "")</f>
        <v/>
      </c>
      <c r="M24" s="63" t="str">
        <f>iferror('Quarterly Revenue&amp;EBITDA'!M24/'Quarterly Revenue&amp;EBITDA'!M20 - 1, "")</f>
        <v/>
      </c>
      <c r="N24" s="63" t="str">
        <f>iferror('Quarterly Revenue&amp;EBITDA'!N24/'Quarterly Revenue&amp;EBITDA'!N20 - 1, "")</f>
        <v/>
      </c>
      <c r="O24" s="63">
        <f>iferror('Quarterly Revenue&amp;EBITDA'!O24/'Quarterly Revenue&amp;EBITDA'!O20 - 1, "")</f>
        <v>2.823741007</v>
      </c>
      <c r="P24" s="63" t="str">
        <f>iferror('Quarterly Revenue&amp;EBITDA'!P24/'Quarterly Revenue&amp;EBITDA'!P20 - 1, "")</f>
        <v/>
      </c>
      <c r="Q24" s="63" t="str">
        <f>iferror('Quarterly Revenue&amp;EBITDA'!Q24/'Quarterly Revenue&amp;EBITDA'!Q20 - 1, "")</f>
        <v/>
      </c>
      <c r="R24" s="63"/>
      <c r="S24" s="63">
        <f>iferror('Quarterly Revenue&amp;EBITDA'!S24/'Quarterly Revenue&amp;EBITDA'!S20 - 1, "")</f>
        <v>1.024653484</v>
      </c>
      <c r="T24" s="63" t="str">
        <f>iferror('Quarterly Revenue&amp;EBITDA'!T24/'Quarterly Revenue&amp;EBITDA'!T20 - 1, "")</f>
        <v/>
      </c>
      <c r="U24" s="63" t="str">
        <f>iferror('Quarterly Revenue&amp;EBITDA'!U24/'Quarterly Revenue&amp;EBITDA'!U20 - 1, "")</f>
        <v/>
      </c>
      <c r="V24" s="63">
        <f>iferror('Quarterly Revenue&amp;EBITDA'!V24/'Quarterly Revenue&amp;EBITDA'!V20 - 1, "")</f>
        <v>3.043729696</v>
      </c>
      <c r="W24" s="63"/>
      <c r="X24" s="63">
        <f>iferror('Quarterly Revenue&amp;EBITDA'!X24/'Quarterly Revenue&amp;EBITDA'!X20 - 1, "")</f>
        <v>0.3312628127</v>
      </c>
      <c r="Y24" s="43"/>
      <c r="Z24" s="43"/>
      <c r="AA24" s="43"/>
      <c r="AB24" s="43"/>
      <c r="AC24" s="43"/>
      <c r="AD24" s="43"/>
    </row>
    <row r="25">
      <c r="A25" s="42" t="s">
        <v>52</v>
      </c>
      <c r="B25" s="62"/>
      <c r="C25" s="63">
        <f>iferror('Quarterly Revenue&amp;EBITDA'!C25/'Quarterly Revenue&amp;EBITDA'!C21 - 1, "")</f>
        <v>-0.1435003793</v>
      </c>
      <c r="D25" s="63">
        <f>iferror('Quarterly Revenue&amp;EBITDA'!D25/'Quarterly Revenue&amp;EBITDA'!D21 - 1, "")</f>
        <v>5.745904959</v>
      </c>
      <c r="E25" s="63">
        <f>iferror('Quarterly Revenue&amp;EBITDA'!E25/'Quarterly Revenue&amp;EBITDA'!E21 - 1, "")</f>
        <v>1.297704178</v>
      </c>
      <c r="F25" s="63" t="str">
        <f>iferror('Quarterly Revenue&amp;EBITDA'!F25/'Quarterly Revenue&amp;EBITDA'!F21 - 1, "")</f>
        <v/>
      </c>
      <c r="G25" s="63" t="str">
        <f>iferror('Quarterly Revenue&amp;EBITDA'!G25/'Quarterly Revenue&amp;EBITDA'!G21 - 1, "")</f>
        <v/>
      </c>
      <c r="H25" s="63" t="str">
        <f>iferror('Quarterly Revenue&amp;EBITDA'!H25/'Quarterly Revenue&amp;EBITDA'!H21 - 1, "")</f>
        <v/>
      </c>
      <c r="I25" s="63" t="str">
        <f>iferror('Quarterly Revenue&amp;EBITDA'!I25/'Quarterly Revenue&amp;EBITDA'!I21 - 1, "")</f>
        <v/>
      </c>
      <c r="J25" s="63" t="str">
        <f>iferror('Quarterly Revenue&amp;EBITDA'!J25/'Quarterly Revenue&amp;EBITDA'!J21 - 1, "")</f>
        <v/>
      </c>
      <c r="K25" s="63" t="str">
        <f>iferror('Quarterly Revenue&amp;EBITDA'!K25/'Quarterly Revenue&amp;EBITDA'!K21 - 1, "")</f>
        <v/>
      </c>
      <c r="L25" s="63" t="str">
        <f>iferror('Quarterly Revenue&amp;EBITDA'!L25/'Quarterly Revenue&amp;EBITDA'!L21 - 1, "")</f>
        <v/>
      </c>
      <c r="M25" s="63" t="str">
        <f>iferror('Quarterly Revenue&amp;EBITDA'!M25/'Quarterly Revenue&amp;EBITDA'!M21 - 1, "")</f>
        <v/>
      </c>
      <c r="N25" s="63" t="str">
        <f>iferror('Quarterly Revenue&amp;EBITDA'!N25/'Quarterly Revenue&amp;EBITDA'!N21 - 1, "")</f>
        <v/>
      </c>
      <c r="O25" s="63">
        <f>iferror('Quarterly Revenue&amp;EBITDA'!O25/'Quarterly Revenue&amp;EBITDA'!O21 - 1, "")</f>
        <v>0.7384760113</v>
      </c>
      <c r="P25" s="63" t="str">
        <f>iferror('Quarterly Revenue&amp;EBITDA'!P25/'Quarterly Revenue&amp;EBITDA'!P21 - 1, "")</f>
        <v/>
      </c>
      <c r="Q25" s="63" t="str">
        <f>iferror('Quarterly Revenue&amp;EBITDA'!Q25/'Quarterly Revenue&amp;EBITDA'!Q21 - 1, "")</f>
        <v/>
      </c>
      <c r="R25" s="63"/>
      <c r="S25" s="63">
        <f>iferror('Quarterly Revenue&amp;EBITDA'!S25/'Quarterly Revenue&amp;EBITDA'!S21 - 1, "")</f>
        <v>1.024653484</v>
      </c>
      <c r="T25" s="63" t="str">
        <f>iferror('Quarterly Revenue&amp;EBITDA'!T25/'Quarterly Revenue&amp;EBITDA'!T21 - 1, "")</f>
        <v/>
      </c>
      <c r="U25" s="63" t="str">
        <f>iferror('Quarterly Revenue&amp;EBITDA'!U25/'Quarterly Revenue&amp;EBITDA'!U21 - 1, "")</f>
        <v/>
      </c>
      <c r="V25" s="63">
        <f>iferror('Quarterly Revenue&amp;EBITDA'!V25/'Quarterly Revenue&amp;EBITDA'!V21 - 1, "")</f>
        <v>3.043729696</v>
      </c>
      <c r="W25" s="63"/>
      <c r="X25" s="63">
        <f>iferror('Quarterly Revenue&amp;EBITDA'!X25/'Quarterly Revenue&amp;EBITDA'!X21 - 1, "")</f>
        <v>-0.8011039788</v>
      </c>
      <c r="Y25" s="43"/>
      <c r="Z25" s="43"/>
      <c r="AA25" s="43"/>
      <c r="AB25" s="43"/>
      <c r="AC25" s="43"/>
      <c r="AD25" s="43"/>
    </row>
    <row r="26">
      <c r="A26" s="42" t="s">
        <v>53</v>
      </c>
      <c r="B26" s="62"/>
      <c r="C26" s="63">
        <f>iferror('Quarterly Revenue&amp;EBITDA'!C26/'Quarterly Revenue&amp;EBITDA'!C22 - 1, "")</f>
        <v>-0.1435003793</v>
      </c>
      <c r="D26" s="63">
        <f>iferror('Quarterly Revenue&amp;EBITDA'!D26/'Quarterly Revenue&amp;EBITDA'!D22 - 1, "")</f>
        <v>5.745904959</v>
      </c>
      <c r="E26" s="63">
        <f>iferror('Quarterly Revenue&amp;EBITDA'!E26/'Quarterly Revenue&amp;EBITDA'!E22 - 1, "")</f>
        <v>1.297704178</v>
      </c>
      <c r="F26" s="63" t="str">
        <f>iferror('Quarterly Revenue&amp;EBITDA'!F26/'Quarterly Revenue&amp;EBITDA'!F22 - 1, "")</f>
        <v/>
      </c>
      <c r="G26" s="63" t="str">
        <f>iferror('Quarterly Revenue&amp;EBITDA'!G26/'Quarterly Revenue&amp;EBITDA'!G22 - 1, "")</f>
        <v/>
      </c>
      <c r="H26" s="63" t="str">
        <f>iferror('Quarterly Revenue&amp;EBITDA'!H26/'Quarterly Revenue&amp;EBITDA'!H22 - 1, "")</f>
        <v/>
      </c>
      <c r="I26" s="63" t="str">
        <f>iferror('Quarterly Revenue&amp;EBITDA'!I26/'Quarterly Revenue&amp;EBITDA'!I22 - 1, "")</f>
        <v/>
      </c>
      <c r="J26" s="63" t="str">
        <f>iferror('Quarterly Revenue&amp;EBITDA'!J26/'Quarterly Revenue&amp;EBITDA'!J22 - 1, "")</f>
        <v/>
      </c>
      <c r="K26" s="63" t="str">
        <f>iferror('Quarterly Revenue&amp;EBITDA'!K26/'Quarterly Revenue&amp;EBITDA'!K22 - 1, "")</f>
        <v/>
      </c>
      <c r="L26" s="63" t="str">
        <f>iferror('Quarterly Revenue&amp;EBITDA'!L26/'Quarterly Revenue&amp;EBITDA'!L22 - 1, "")</f>
        <v/>
      </c>
      <c r="M26" s="63" t="str">
        <f>iferror('Quarterly Revenue&amp;EBITDA'!M26/'Quarterly Revenue&amp;EBITDA'!M22 - 1, "")</f>
        <v/>
      </c>
      <c r="N26" s="63" t="str">
        <f>iferror('Quarterly Revenue&amp;EBITDA'!N26/'Quarterly Revenue&amp;EBITDA'!N22 - 1, "")</f>
        <v/>
      </c>
      <c r="O26" s="63">
        <f>iferror('Quarterly Revenue&amp;EBITDA'!O26/'Quarterly Revenue&amp;EBITDA'!O22 - 1, "")</f>
        <v>0.7384760113</v>
      </c>
      <c r="P26" s="63" t="str">
        <f>iferror('Quarterly Revenue&amp;EBITDA'!P26/'Quarterly Revenue&amp;EBITDA'!P22 - 1, "")</f>
        <v/>
      </c>
      <c r="Q26" s="63" t="str">
        <f>iferror('Quarterly Revenue&amp;EBITDA'!Q26/'Quarterly Revenue&amp;EBITDA'!Q22 - 1, "")</f>
        <v/>
      </c>
      <c r="R26" s="63"/>
      <c r="S26" s="63">
        <f>iferror('Quarterly Revenue&amp;EBITDA'!S26/'Quarterly Revenue&amp;EBITDA'!S22 - 1, "")</f>
        <v>1.024653484</v>
      </c>
      <c r="T26" s="63" t="str">
        <f>iferror('Quarterly Revenue&amp;EBITDA'!T26/'Quarterly Revenue&amp;EBITDA'!T22 - 1, "")</f>
        <v/>
      </c>
      <c r="U26" s="63" t="str">
        <f>iferror('Quarterly Revenue&amp;EBITDA'!U26/'Quarterly Revenue&amp;EBITDA'!U22 - 1, "")</f>
        <v/>
      </c>
      <c r="V26" s="63">
        <f>iferror('Quarterly Revenue&amp;EBITDA'!V26/'Quarterly Revenue&amp;EBITDA'!V22 - 1, "")</f>
        <v>3.043729696</v>
      </c>
      <c r="W26" s="63"/>
      <c r="X26" s="63">
        <f>iferror('Quarterly Revenue&amp;EBITDA'!X26/'Quarterly Revenue&amp;EBITDA'!X22 - 1, "")</f>
        <v>-0.8011039788</v>
      </c>
      <c r="Y26" s="43"/>
      <c r="Z26" s="43"/>
      <c r="AA26" s="43"/>
      <c r="AB26" s="43"/>
      <c r="AC26" s="43"/>
      <c r="AD26" s="43"/>
    </row>
    <row r="27">
      <c r="A27" s="42" t="s">
        <v>54</v>
      </c>
      <c r="B27" s="62"/>
      <c r="C27" s="63">
        <f>iferror('Quarterly Revenue&amp;EBITDA'!C27/'Quarterly Revenue&amp;EBITDA'!C23 - 1, "")</f>
        <v>-0.1394421715</v>
      </c>
      <c r="D27" s="63">
        <f>iferror('Quarterly Revenue&amp;EBITDA'!D27/'Quarterly Revenue&amp;EBITDA'!D23 - 1, "")</f>
        <v>0.56083785</v>
      </c>
      <c r="E27" s="63">
        <f>iferror('Quarterly Revenue&amp;EBITDA'!E27/'Quarterly Revenue&amp;EBITDA'!E23 - 1, "")</f>
        <v>0.7637182637</v>
      </c>
      <c r="F27" s="63" t="str">
        <f>iferror('Quarterly Revenue&amp;EBITDA'!F27/'Quarterly Revenue&amp;EBITDA'!F23 - 1, "")</f>
        <v/>
      </c>
      <c r="G27" s="63" t="str">
        <f>iferror('Quarterly Revenue&amp;EBITDA'!G27/'Quarterly Revenue&amp;EBITDA'!G23 - 1, "")</f>
        <v/>
      </c>
      <c r="H27" s="63" t="str">
        <f>iferror('Quarterly Revenue&amp;EBITDA'!H27/'Quarterly Revenue&amp;EBITDA'!H23 - 1, "")</f>
        <v/>
      </c>
      <c r="I27" s="63" t="str">
        <f>iferror('Quarterly Revenue&amp;EBITDA'!I27/'Quarterly Revenue&amp;EBITDA'!I23 - 1, "")</f>
        <v/>
      </c>
      <c r="J27" s="63" t="str">
        <f>iferror('Quarterly Revenue&amp;EBITDA'!J27/'Quarterly Revenue&amp;EBITDA'!J23 - 1, "")</f>
        <v/>
      </c>
      <c r="K27" s="63" t="str">
        <f>iferror('Quarterly Revenue&amp;EBITDA'!K27/'Quarterly Revenue&amp;EBITDA'!K23 - 1, "")</f>
        <v/>
      </c>
      <c r="L27" s="63" t="str">
        <f>iferror('Quarterly Revenue&amp;EBITDA'!L27/'Quarterly Revenue&amp;EBITDA'!L23 - 1, "")</f>
        <v/>
      </c>
      <c r="M27" s="63" t="str">
        <f>iferror('Quarterly Revenue&amp;EBITDA'!M27/'Quarterly Revenue&amp;EBITDA'!M23 - 1, "")</f>
        <v/>
      </c>
      <c r="N27" s="63" t="str">
        <f>iferror('Quarterly Revenue&amp;EBITDA'!N27/'Quarterly Revenue&amp;EBITDA'!N23 - 1, "")</f>
        <v/>
      </c>
      <c r="O27" s="63">
        <f>iferror('Quarterly Revenue&amp;EBITDA'!O27/'Quarterly Revenue&amp;EBITDA'!O23 - 1, "")</f>
        <v>0.7384760113</v>
      </c>
      <c r="P27" s="63" t="str">
        <f>iferror('Quarterly Revenue&amp;EBITDA'!P27/'Quarterly Revenue&amp;EBITDA'!P23 - 1, "")</f>
        <v/>
      </c>
      <c r="Q27" s="63" t="str">
        <f>iferror('Quarterly Revenue&amp;EBITDA'!Q27/'Quarterly Revenue&amp;EBITDA'!Q23 - 1, "")</f>
        <v/>
      </c>
      <c r="R27" s="63"/>
      <c r="S27" s="63">
        <f>iferror('Quarterly Revenue&amp;EBITDA'!S27/'Quarterly Revenue&amp;EBITDA'!S23 - 1, "")</f>
        <v>5.47618526</v>
      </c>
      <c r="T27" s="63" t="str">
        <f>iferror('Quarterly Revenue&amp;EBITDA'!T27/'Quarterly Revenue&amp;EBITDA'!T23 - 1, "")</f>
        <v/>
      </c>
      <c r="U27" s="63" t="str">
        <f>iferror('Quarterly Revenue&amp;EBITDA'!U27/'Quarterly Revenue&amp;EBITDA'!U23 - 1, "")</f>
        <v/>
      </c>
      <c r="V27" s="63">
        <f>iferror('Quarterly Revenue&amp;EBITDA'!V27/'Quarterly Revenue&amp;EBITDA'!V23 - 1, "")</f>
        <v>0.3779271836</v>
      </c>
      <c r="W27" s="63" t="str">
        <f>iferror('Quarterly Revenue&amp;EBITDA'!W27/'Quarterly Revenue&amp;EBITDA'!W23 - 1, "")</f>
        <v/>
      </c>
      <c r="X27" s="63">
        <f>iferror('Quarterly Revenue&amp;EBITDA'!X27/'Quarterly Revenue&amp;EBITDA'!X23 - 1, "")</f>
        <v>-0.8011039788</v>
      </c>
      <c r="Y27" s="43"/>
      <c r="Z27" s="43"/>
      <c r="AA27" s="43"/>
      <c r="AB27" s="43"/>
      <c r="AC27" s="43"/>
      <c r="AD27" s="43"/>
    </row>
    <row r="28">
      <c r="A28" s="42" t="s">
        <v>55</v>
      </c>
      <c r="B28" s="62"/>
      <c r="C28" s="63">
        <f>iferror('Quarterly Revenue&amp;EBITDA'!C28/'Quarterly Revenue&amp;EBITDA'!C24 - 1, "")</f>
        <v>-0.1394421715</v>
      </c>
      <c r="D28" s="63">
        <f>iferror('Quarterly Revenue&amp;EBITDA'!D28/'Quarterly Revenue&amp;EBITDA'!D24 - 1, "")</f>
        <v>0.56083785</v>
      </c>
      <c r="E28" s="63">
        <f>iferror('Quarterly Revenue&amp;EBITDA'!E28/'Quarterly Revenue&amp;EBITDA'!E24 - 1, "")</f>
        <v>0.7637182637</v>
      </c>
      <c r="F28" s="63" t="str">
        <f>iferror('Quarterly Revenue&amp;EBITDA'!F28/'Quarterly Revenue&amp;EBITDA'!F24 - 1, "")</f>
        <v/>
      </c>
      <c r="G28" s="63" t="str">
        <f>iferror('Quarterly Revenue&amp;EBITDA'!G28/'Quarterly Revenue&amp;EBITDA'!G24 - 1, "")</f>
        <v/>
      </c>
      <c r="H28" s="63" t="str">
        <f>iferror('Quarterly Revenue&amp;EBITDA'!H28/'Quarterly Revenue&amp;EBITDA'!H24 - 1, "")</f>
        <v/>
      </c>
      <c r="I28" s="63" t="str">
        <f>iferror('Quarterly Revenue&amp;EBITDA'!I28/'Quarterly Revenue&amp;EBITDA'!I24 - 1, "")</f>
        <v/>
      </c>
      <c r="J28" s="63" t="str">
        <f>iferror('Quarterly Revenue&amp;EBITDA'!J28/'Quarterly Revenue&amp;EBITDA'!J24 - 1, "")</f>
        <v/>
      </c>
      <c r="K28" s="63" t="str">
        <f>iferror('Quarterly Revenue&amp;EBITDA'!K28/'Quarterly Revenue&amp;EBITDA'!K24 - 1, "")</f>
        <v/>
      </c>
      <c r="L28" s="63" t="str">
        <f>iferror('Quarterly Revenue&amp;EBITDA'!L28/'Quarterly Revenue&amp;EBITDA'!L24 - 1, "")</f>
        <v/>
      </c>
      <c r="M28" s="63" t="str">
        <f>iferror('Quarterly Revenue&amp;EBITDA'!M28/'Quarterly Revenue&amp;EBITDA'!M24 - 1, "")</f>
        <v/>
      </c>
      <c r="N28" s="63" t="str">
        <f>iferror('Quarterly Revenue&amp;EBITDA'!N28/'Quarterly Revenue&amp;EBITDA'!N24 - 1, "")</f>
        <v/>
      </c>
      <c r="O28" s="63">
        <f>iferror('Quarterly Revenue&amp;EBITDA'!O28/'Quarterly Revenue&amp;EBITDA'!O24 - 1, "")</f>
        <v>0.7384760113</v>
      </c>
      <c r="P28" s="63" t="str">
        <f>iferror('Quarterly Revenue&amp;EBITDA'!P28/'Quarterly Revenue&amp;EBITDA'!P24 - 1, "")</f>
        <v/>
      </c>
      <c r="Q28" s="63" t="str">
        <f>iferror('Quarterly Revenue&amp;EBITDA'!Q28/'Quarterly Revenue&amp;EBITDA'!Q24 - 1, "")</f>
        <v/>
      </c>
      <c r="R28" s="63"/>
      <c r="S28" s="63">
        <f>iferror('Quarterly Revenue&amp;EBITDA'!S28/'Quarterly Revenue&amp;EBITDA'!S24 - 1, "")</f>
        <v>5.47618526</v>
      </c>
      <c r="T28" s="63" t="str">
        <f>iferror('Quarterly Revenue&amp;EBITDA'!T28/'Quarterly Revenue&amp;EBITDA'!T24 - 1, "")</f>
        <v/>
      </c>
      <c r="U28" s="63" t="str">
        <f>iferror('Quarterly Revenue&amp;EBITDA'!U28/'Quarterly Revenue&amp;EBITDA'!U24 - 1, "")</f>
        <v/>
      </c>
      <c r="V28" s="63">
        <f>iferror('Quarterly Revenue&amp;EBITDA'!V28/'Quarterly Revenue&amp;EBITDA'!V24 - 1, "")</f>
        <v>0.3779271836</v>
      </c>
      <c r="W28" s="63" t="str">
        <f>iferror('Quarterly Revenue&amp;EBITDA'!W28/'Quarterly Revenue&amp;EBITDA'!W24 - 1, "")</f>
        <v/>
      </c>
      <c r="X28" s="63">
        <f>iferror('Quarterly Revenue&amp;EBITDA'!X28/'Quarterly Revenue&amp;EBITDA'!X24 - 1, "")</f>
        <v>-0.8011039788</v>
      </c>
      <c r="Y28" s="43"/>
      <c r="Z28" s="43"/>
      <c r="AA28" s="43"/>
      <c r="AB28" s="43"/>
      <c r="AC28" s="43"/>
      <c r="AD28" s="43"/>
    </row>
    <row r="29">
      <c r="A29" s="42" t="s">
        <v>56</v>
      </c>
      <c r="B29" s="62"/>
      <c r="C29" s="63">
        <f>iferror('Quarterly Revenue&amp;EBITDA'!C29/'Quarterly Revenue&amp;EBITDA'!C25 - 1, "")</f>
        <v>-0.1394421715</v>
      </c>
      <c r="D29" s="63">
        <f>iferror('Quarterly Revenue&amp;EBITDA'!D29/'Quarterly Revenue&amp;EBITDA'!D25 - 1, "")</f>
        <v>0.56083785</v>
      </c>
      <c r="E29" s="63">
        <f>iferror('Quarterly Revenue&amp;EBITDA'!E29/'Quarterly Revenue&amp;EBITDA'!E25 - 1, "")</f>
        <v>0.7637182637</v>
      </c>
      <c r="F29" s="63" t="str">
        <f>iferror('Quarterly Revenue&amp;EBITDA'!F29/'Quarterly Revenue&amp;EBITDA'!F25 - 1, "")</f>
        <v/>
      </c>
      <c r="G29" s="63" t="str">
        <f>iferror('Quarterly Revenue&amp;EBITDA'!G29/'Quarterly Revenue&amp;EBITDA'!G25 - 1, "")</f>
        <v/>
      </c>
      <c r="H29" s="63" t="str">
        <f>iferror('Quarterly Revenue&amp;EBITDA'!H29/'Quarterly Revenue&amp;EBITDA'!H25 - 1, "")</f>
        <v/>
      </c>
      <c r="I29" s="63" t="str">
        <f>iferror('Quarterly Revenue&amp;EBITDA'!I29/'Quarterly Revenue&amp;EBITDA'!I25 - 1, "")</f>
        <v/>
      </c>
      <c r="J29" s="63" t="str">
        <f>iferror('Quarterly Revenue&amp;EBITDA'!J29/'Quarterly Revenue&amp;EBITDA'!J25 - 1, "")</f>
        <v/>
      </c>
      <c r="K29" s="63" t="str">
        <f>iferror('Quarterly Revenue&amp;EBITDA'!K29/'Quarterly Revenue&amp;EBITDA'!K25 - 1, "")</f>
        <v/>
      </c>
      <c r="L29" s="63" t="str">
        <f>iferror('Quarterly Revenue&amp;EBITDA'!L29/'Quarterly Revenue&amp;EBITDA'!L25 - 1, "")</f>
        <v/>
      </c>
      <c r="M29" s="63" t="str">
        <f>iferror('Quarterly Revenue&amp;EBITDA'!M29/'Quarterly Revenue&amp;EBITDA'!M25 - 1, "")</f>
        <v/>
      </c>
      <c r="N29" s="63" t="str">
        <f>iferror('Quarterly Revenue&amp;EBITDA'!N29/'Quarterly Revenue&amp;EBITDA'!N25 - 1, "")</f>
        <v/>
      </c>
      <c r="O29" s="63">
        <f>iferror('Quarterly Revenue&amp;EBITDA'!O29/'Quarterly Revenue&amp;EBITDA'!O25 - 1, "")</f>
        <v>0.07251082251</v>
      </c>
      <c r="P29" s="63" t="str">
        <f>iferror('Quarterly Revenue&amp;EBITDA'!P29/'Quarterly Revenue&amp;EBITDA'!P25 - 1, "")</f>
        <v/>
      </c>
      <c r="Q29" s="63" t="str">
        <f>iferror('Quarterly Revenue&amp;EBITDA'!Q29/'Quarterly Revenue&amp;EBITDA'!Q25 - 1, "")</f>
        <v/>
      </c>
      <c r="R29" s="63"/>
      <c r="S29" s="63">
        <f>iferror('Quarterly Revenue&amp;EBITDA'!S29/'Quarterly Revenue&amp;EBITDA'!S25 - 1, "")</f>
        <v>5.47618526</v>
      </c>
      <c r="T29" s="63" t="str">
        <f>iferror('Quarterly Revenue&amp;EBITDA'!T29/'Quarterly Revenue&amp;EBITDA'!T25 - 1, "")</f>
        <v/>
      </c>
      <c r="U29" s="63" t="str">
        <f>iferror('Quarterly Revenue&amp;EBITDA'!U29/'Quarterly Revenue&amp;EBITDA'!U25 - 1, "")</f>
        <v/>
      </c>
      <c r="V29" s="63">
        <f>iferror('Quarterly Revenue&amp;EBITDA'!V29/'Quarterly Revenue&amp;EBITDA'!V25 - 1, "")</f>
        <v>0.3779271836</v>
      </c>
      <c r="W29" s="63" t="str">
        <f>iferror('Quarterly Revenue&amp;EBITDA'!W29/'Quarterly Revenue&amp;EBITDA'!W25 - 1, "")</f>
        <v/>
      </c>
      <c r="X29" s="63">
        <f>iferror('Quarterly Revenue&amp;EBITDA'!X29/'Quarterly Revenue&amp;EBITDA'!X25 - 1, "")</f>
        <v>0.3188295165</v>
      </c>
      <c r="Y29" s="43"/>
      <c r="Z29" s="43"/>
      <c r="AA29" s="43"/>
      <c r="AB29" s="43"/>
      <c r="AC29" s="43"/>
      <c r="AD29" s="43"/>
    </row>
    <row r="30">
      <c r="A30" s="42" t="s">
        <v>57</v>
      </c>
      <c r="B30" s="62"/>
      <c r="C30" s="63">
        <f>iferror('Quarterly Revenue&amp;EBITDA'!C30/'Quarterly Revenue&amp;EBITDA'!C26 - 1, "")</f>
        <v>-0.1394421715</v>
      </c>
      <c r="D30" s="63">
        <f>iferror('Quarterly Revenue&amp;EBITDA'!D30/'Quarterly Revenue&amp;EBITDA'!D26 - 1, "")</f>
        <v>0.56083785</v>
      </c>
      <c r="E30" s="63">
        <f>iferror('Quarterly Revenue&amp;EBITDA'!E30/'Quarterly Revenue&amp;EBITDA'!E26 - 1, "")</f>
        <v>0.7637182637</v>
      </c>
      <c r="F30" s="63" t="str">
        <f>iferror('Quarterly Revenue&amp;EBITDA'!F30/'Quarterly Revenue&amp;EBITDA'!F26 - 1, "")</f>
        <v/>
      </c>
      <c r="G30" s="63" t="str">
        <f>iferror('Quarterly Revenue&amp;EBITDA'!G30/'Quarterly Revenue&amp;EBITDA'!G26 - 1, "")</f>
        <v/>
      </c>
      <c r="H30" s="63" t="str">
        <f>iferror('Quarterly Revenue&amp;EBITDA'!H30/'Quarterly Revenue&amp;EBITDA'!H26 - 1, "")</f>
        <v/>
      </c>
      <c r="I30" s="63" t="str">
        <f>iferror('Quarterly Revenue&amp;EBITDA'!I30/'Quarterly Revenue&amp;EBITDA'!I26 - 1, "")</f>
        <v/>
      </c>
      <c r="J30" s="63" t="str">
        <f>iferror('Quarterly Revenue&amp;EBITDA'!J30/'Quarterly Revenue&amp;EBITDA'!J26 - 1, "")</f>
        <v/>
      </c>
      <c r="K30" s="63" t="str">
        <f>iferror('Quarterly Revenue&amp;EBITDA'!K30/'Quarterly Revenue&amp;EBITDA'!K26 - 1, "")</f>
        <v/>
      </c>
      <c r="L30" s="63" t="str">
        <f>iferror('Quarterly Revenue&amp;EBITDA'!L30/'Quarterly Revenue&amp;EBITDA'!L26 - 1, "")</f>
        <v/>
      </c>
      <c r="M30" s="63" t="str">
        <f>iferror('Quarterly Revenue&amp;EBITDA'!M30/'Quarterly Revenue&amp;EBITDA'!M26 - 1, "")</f>
        <v/>
      </c>
      <c r="N30" s="63" t="str">
        <f>iferror('Quarterly Revenue&amp;EBITDA'!N30/'Quarterly Revenue&amp;EBITDA'!N26 - 1, "")</f>
        <v/>
      </c>
      <c r="O30" s="63">
        <f>iferror('Quarterly Revenue&amp;EBITDA'!O30/'Quarterly Revenue&amp;EBITDA'!O26 - 1, "")</f>
        <v>0.07251082251</v>
      </c>
      <c r="P30" s="63" t="str">
        <f>iferror('Quarterly Revenue&amp;EBITDA'!P30/'Quarterly Revenue&amp;EBITDA'!P26 - 1, "")</f>
        <v/>
      </c>
      <c r="Q30" s="63" t="str">
        <f>iferror('Quarterly Revenue&amp;EBITDA'!Q30/'Quarterly Revenue&amp;EBITDA'!Q26 - 1, "")</f>
        <v/>
      </c>
      <c r="R30" s="63"/>
      <c r="S30" s="63">
        <f>iferror('Quarterly Revenue&amp;EBITDA'!S30/'Quarterly Revenue&amp;EBITDA'!S26 - 1, "")</f>
        <v>5.47618526</v>
      </c>
      <c r="T30" s="63" t="str">
        <f>iferror('Quarterly Revenue&amp;EBITDA'!T30/'Quarterly Revenue&amp;EBITDA'!T26 - 1, "")</f>
        <v/>
      </c>
      <c r="U30" s="63" t="str">
        <f>iferror('Quarterly Revenue&amp;EBITDA'!U30/'Quarterly Revenue&amp;EBITDA'!U26 - 1, "")</f>
        <v/>
      </c>
      <c r="V30" s="63">
        <f>iferror('Quarterly Revenue&amp;EBITDA'!V30/'Quarterly Revenue&amp;EBITDA'!V26 - 1, "")</f>
        <v>0.3779271836</v>
      </c>
      <c r="W30" s="63" t="str">
        <f>iferror('Quarterly Revenue&amp;EBITDA'!W30/'Quarterly Revenue&amp;EBITDA'!W26 - 1, "")</f>
        <v/>
      </c>
      <c r="X30" s="63">
        <f>iferror('Quarterly Revenue&amp;EBITDA'!X30/'Quarterly Revenue&amp;EBITDA'!X26 - 1, "")</f>
        <v>0.3188295165</v>
      </c>
      <c r="Y30" s="43"/>
      <c r="Z30" s="43"/>
      <c r="AA30" s="43"/>
      <c r="AB30" s="43"/>
      <c r="AC30" s="43"/>
      <c r="AD30" s="43"/>
    </row>
    <row r="31">
      <c r="A31" s="42" t="s">
        <v>58</v>
      </c>
      <c r="B31" s="62"/>
      <c r="C31" s="63">
        <f>iferror('Quarterly Revenue&amp;EBITDA'!C31/'Quarterly Revenue&amp;EBITDA'!C27 - 1, "")</f>
        <v>0.05871632504</v>
      </c>
      <c r="D31" s="63">
        <f>iferror('Quarterly Revenue&amp;EBITDA'!D31/'Quarterly Revenue&amp;EBITDA'!D27 - 1, "")</f>
        <v>-0.2123246601</v>
      </c>
      <c r="E31" s="63">
        <f>iferror('Quarterly Revenue&amp;EBITDA'!E31/'Quarterly Revenue&amp;EBITDA'!E27 - 1, "")</f>
        <v>0.8979800325</v>
      </c>
      <c r="F31" s="63" t="str">
        <f>iferror('Quarterly Revenue&amp;EBITDA'!F31/'Quarterly Revenue&amp;EBITDA'!F27 - 1, "")</f>
        <v/>
      </c>
      <c r="G31" s="63" t="str">
        <f>iferror('Quarterly Revenue&amp;EBITDA'!G31/'Quarterly Revenue&amp;EBITDA'!G27 - 1, "")</f>
        <v/>
      </c>
      <c r="H31" s="63" t="str">
        <f>iferror('Quarterly Revenue&amp;EBITDA'!H31/'Quarterly Revenue&amp;EBITDA'!H27 - 1, "")</f>
        <v/>
      </c>
      <c r="I31" s="63" t="str">
        <f>iferror('Quarterly Revenue&amp;EBITDA'!I31/'Quarterly Revenue&amp;EBITDA'!I27 - 1, "")</f>
        <v/>
      </c>
      <c r="J31" s="63" t="str">
        <f>iferror('Quarterly Revenue&amp;EBITDA'!J31/'Quarterly Revenue&amp;EBITDA'!J27 - 1, "")</f>
        <v/>
      </c>
      <c r="K31" s="63" t="str">
        <f>iferror('Quarterly Revenue&amp;EBITDA'!K31/'Quarterly Revenue&amp;EBITDA'!K27 - 1, "")</f>
        <v/>
      </c>
      <c r="L31" s="63" t="str">
        <f>iferror('Quarterly Revenue&amp;EBITDA'!L31/'Quarterly Revenue&amp;EBITDA'!L27 - 1, "")</f>
        <v/>
      </c>
      <c r="M31" s="63" t="str">
        <f>iferror('Quarterly Revenue&amp;EBITDA'!M31/'Quarterly Revenue&amp;EBITDA'!M27 - 1, "")</f>
        <v/>
      </c>
      <c r="N31" s="63" t="str">
        <f>iferror('Quarterly Revenue&amp;EBITDA'!N31/'Quarterly Revenue&amp;EBITDA'!N27 - 1, "")</f>
        <v/>
      </c>
      <c r="O31" s="63">
        <f>iferror('Quarterly Revenue&amp;EBITDA'!O31/'Quarterly Revenue&amp;EBITDA'!O27 - 1, "")</f>
        <v>0.07251082251</v>
      </c>
      <c r="P31" s="63" t="str">
        <f>iferror('Quarterly Revenue&amp;EBITDA'!P31/'Quarterly Revenue&amp;EBITDA'!P27 - 1, "")</f>
        <v/>
      </c>
      <c r="Q31" s="63" t="str">
        <f>iferror('Quarterly Revenue&amp;EBITDA'!Q31/'Quarterly Revenue&amp;EBITDA'!Q27 - 1, "")</f>
        <v/>
      </c>
      <c r="R31" s="63"/>
      <c r="S31" s="63"/>
      <c r="T31" s="63" t="str">
        <f>iferror('Quarterly Revenue&amp;EBITDA'!T31/'Quarterly Revenue&amp;EBITDA'!T27 - 1, "")</f>
        <v/>
      </c>
      <c r="U31" s="63" t="str">
        <f>iferror('Quarterly Revenue&amp;EBITDA'!U31/'Quarterly Revenue&amp;EBITDA'!U27 - 1, "")</f>
        <v/>
      </c>
      <c r="V31" s="63">
        <f>iferror('Quarterly Revenue&amp;EBITDA'!V31/'Quarterly Revenue&amp;EBITDA'!V27 - 1, "")</f>
        <v>0.008931524975</v>
      </c>
      <c r="W31" s="63" t="str">
        <f>iferror('Quarterly Revenue&amp;EBITDA'!W31/'Quarterly Revenue&amp;EBITDA'!W27 - 1, "")</f>
        <v/>
      </c>
      <c r="X31" s="63">
        <f>iferror('Quarterly Revenue&amp;EBITDA'!X31/'Quarterly Revenue&amp;EBITDA'!X27 - 1, "")</f>
        <v>0.3188295165</v>
      </c>
      <c r="Y31" s="43"/>
      <c r="Z31" s="43"/>
      <c r="AA31" s="43"/>
      <c r="AB31" s="43"/>
      <c r="AC31" s="43"/>
      <c r="AD31" s="43"/>
    </row>
    <row r="32">
      <c r="A32" s="42" t="s">
        <v>59</v>
      </c>
      <c r="B32" s="62"/>
      <c r="C32" s="63">
        <f>iferror('Quarterly Revenue&amp;EBITDA'!C32/'Quarterly Revenue&amp;EBITDA'!C28 - 1, "")</f>
        <v>0.05871632504</v>
      </c>
      <c r="D32" s="63">
        <f>iferror('Quarterly Revenue&amp;EBITDA'!D32/'Quarterly Revenue&amp;EBITDA'!D28 - 1, "")</f>
        <v>-0.2123246601</v>
      </c>
      <c r="E32" s="63">
        <f>iferror('Quarterly Revenue&amp;EBITDA'!E32/'Quarterly Revenue&amp;EBITDA'!E28 - 1, "")</f>
        <v>0.8979800325</v>
      </c>
      <c r="F32" s="63" t="str">
        <f>iferror('Quarterly Revenue&amp;EBITDA'!F32/'Quarterly Revenue&amp;EBITDA'!F28 - 1, "")</f>
        <v/>
      </c>
      <c r="G32" s="63" t="str">
        <f>iferror('Quarterly Revenue&amp;EBITDA'!G32/'Quarterly Revenue&amp;EBITDA'!G28 - 1, "")</f>
        <v/>
      </c>
      <c r="H32" s="63" t="str">
        <f>iferror('Quarterly Revenue&amp;EBITDA'!H32/'Quarterly Revenue&amp;EBITDA'!H28 - 1, "")</f>
        <v/>
      </c>
      <c r="I32" s="63" t="str">
        <f>iferror('Quarterly Revenue&amp;EBITDA'!I32/'Quarterly Revenue&amp;EBITDA'!I28 - 1, "")</f>
        <v/>
      </c>
      <c r="J32" s="63" t="str">
        <f>iferror('Quarterly Revenue&amp;EBITDA'!J32/'Quarterly Revenue&amp;EBITDA'!J28 - 1, "")</f>
        <v/>
      </c>
      <c r="K32" s="63" t="str">
        <f>iferror('Quarterly Revenue&amp;EBITDA'!K32/'Quarterly Revenue&amp;EBITDA'!K28 - 1, "")</f>
        <v/>
      </c>
      <c r="L32" s="63" t="str">
        <f>iferror('Quarterly Revenue&amp;EBITDA'!L32/'Quarterly Revenue&amp;EBITDA'!L28 - 1, "")</f>
        <v/>
      </c>
      <c r="M32" s="63" t="str">
        <f>iferror('Quarterly Revenue&amp;EBITDA'!M32/'Quarterly Revenue&amp;EBITDA'!M28 - 1, "")</f>
        <v/>
      </c>
      <c r="N32" s="63" t="str">
        <f>iferror('Quarterly Revenue&amp;EBITDA'!N32/'Quarterly Revenue&amp;EBITDA'!N28 - 1, "")</f>
        <v/>
      </c>
      <c r="O32" s="63">
        <f>iferror('Quarterly Revenue&amp;EBITDA'!O32/'Quarterly Revenue&amp;EBITDA'!O28 - 1, "")</f>
        <v>0.07251082251</v>
      </c>
      <c r="P32" s="63" t="str">
        <f>iferror('Quarterly Revenue&amp;EBITDA'!P32/'Quarterly Revenue&amp;EBITDA'!P28 - 1, "")</f>
        <v/>
      </c>
      <c r="Q32" s="63" t="str">
        <f>iferror('Quarterly Revenue&amp;EBITDA'!Q32/'Quarterly Revenue&amp;EBITDA'!Q28 - 1, "")</f>
        <v/>
      </c>
      <c r="R32" s="63"/>
      <c r="S32" s="63"/>
      <c r="T32" s="63" t="str">
        <f>iferror('Quarterly Revenue&amp;EBITDA'!T32/'Quarterly Revenue&amp;EBITDA'!T28 - 1, "")</f>
        <v/>
      </c>
      <c r="U32" s="63" t="str">
        <f>iferror('Quarterly Revenue&amp;EBITDA'!U32/'Quarterly Revenue&amp;EBITDA'!U28 - 1, "")</f>
        <v/>
      </c>
      <c r="V32" s="63">
        <f>iferror('Quarterly Revenue&amp;EBITDA'!V32/'Quarterly Revenue&amp;EBITDA'!V28 - 1, "")</f>
        <v>0.008931524975</v>
      </c>
      <c r="W32" s="63" t="str">
        <f>iferror('Quarterly Revenue&amp;EBITDA'!W32/'Quarterly Revenue&amp;EBITDA'!W28 - 1, "")</f>
        <v/>
      </c>
      <c r="X32" s="63">
        <f>iferror('Quarterly Revenue&amp;EBITDA'!X32/'Quarterly Revenue&amp;EBITDA'!X28 - 1, "")</f>
        <v>0.3188295165</v>
      </c>
      <c r="Y32" s="43"/>
      <c r="Z32" s="43"/>
      <c r="AA32" s="43"/>
      <c r="AB32" s="43"/>
      <c r="AC32" s="43"/>
      <c r="AD32" s="43"/>
    </row>
    <row r="33">
      <c r="A33" s="42" t="s">
        <v>60</v>
      </c>
      <c r="B33" s="62"/>
      <c r="C33" s="63">
        <f>iferror('Quarterly Revenue&amp;EBITDA'!C33/'Quarterly Revenue&amp;EBITDA'!C29 - 1, "")</f>
        <v>0.05871632504</v>
      </c>
      <c r="D33" s="63">
        <f>iferror('Quarterly Revenue&amp;EBITDA'!D33/'Quarterly Revenue&amp;EBITDA'!D29 - 1, "")</f>
        <v>-0.2123246601</v>
      </c>
      <c r="E33" s="63">
        <f>iferror('Quarterly Revenue&amp;EBITDA'!E33/'Quarterly Revenue&amp;EBITDA'!E29 - 1, "")</f>
        <v>0.8979800325</v>
      </c>
      <c r="F33" s="63" t="str">
        <f>iferror('Quarterly Revenue&amp;EBITDA'!F33/'Quarterly Revenue&amp;EBITDA'!F29 - 1, "")</f>
        <v/>
      </c>
      <c r="G33" s="63" t="str">
        <f>iferror('Quarterly Revenue&amp;EBITDA'!G33/'Quarterly Revenue&amp;EBITDA'!G29 - 1, "")</f>
        <v/>
      </c>
      <c r="H33" s="63" t="str">
        <f>iferror('Quarterly Revenue&amp;EBITDA'!H33/'Quarterly Revenue&amp;EBITDA'!H29 - 1, "")</f>
        <v/>
      </c>
      <c r="I33" s="63" t="str">
        <f>iferror('Quarterly Revenue&amp;EBITDA'!I33/'Quarterly Revenue&amp;EBITDA'!I29 - 1, "")</f>
        <v/>
      </c>
      <c r="J33" s="63" t="str">
        <f>iferror('Quarterly Revenue&amp;EBITDA'!J33/'Quarterly Revenue&amp;EBITDA'!J29 - 1, "")</f>
        <v/>
      </c>
      <c r="K33" s="63" t="str">
        <f>iferror('Quarterly Revenue&amp;EBITDA'!K33/'Quarterly Revenue&amp;EBITDA'!K29 - 1, "")</f>
        <v/>
      </c>
      <c r="L33" s="63" t="str">
        <f>iferror('Quarterly Revenue&amp;EBITDA'!L33/'Quarterly Revenue&amp;EBITDA'!L29 - 1, "")</f>
        <v/>
      </c>
      <c r="M33" s="63" t="str">
        <f>iferror('Quarterly Revenue&amp;EBITDA'!M33/'Quarterly Revenue&amp;EBITDA'!M29 - 1, "")</f>
        <v/>
      </c>
      <c r="N33" s="63" t="str">
        <f>iferror('Quarterly Revenue&amp;EBITDA'!N33/'Quarterly Revenue&amp;EBITDA'!N29 - 1, "")</f>
        <v/>
      </c>
      <c r="O33" s="63">
        <f>iferror('Quarterly Revenue&amp;EBITDA'!O33/'Quarterly Revenue&amp;EBITDA'!O29 - 1, "")</f>
        <v>3.026236125</v>
      </c>
      <c r="P33" s="63" t="str">
        <f>iferror('Quarterly Revenue&amp;EBITDA'!P33/'Quarterly Revenue&amp;EBITDA'!P29 - 1, "")</f>
        <v/>
      </c>
      <c r="Q33" s="63" t="str">
        <f>iferror('Quarterly Revenue&amp;EBITDA'!Q33/'Quarterly Revenue&amp;EBITDA'!Q29 - 1, "")</f>
        <v/>
      </c>
      <c r="R33" s="63"/>
      <c r="S33" s="63"/>
      <c r="T33" s="63" t="str">
        <f>iferror('Quarterly Revenue&amp;EBITDA'!T33/'Quarterly Revenue&amp;EBITDA'!T29 - 1, "")</f>
        <v/>
      </c>
      <c r="U33" s="63" t="str">
        <f>iferror('Quarterly Revenue&amp;EBITDA'!U33/'Quarterly Revenue&amp;EBITDA'!U29 - 1, "")</f>
        <v/>
      </c>
      <c r="V33" s="63">
        <f>iferror('Quarterly Revenue&amp;EBITDA'!V33/'Quarterly Revenue&amp;EBITDA'!V29 - 1, "")</f>
        <v>0.008931524975</v>
      </c>
      <c r="W33" s="63" t="str">
        <f>iferror('Quarterly Revenue&amp;EBITDA'!W33/'Quarterly Revenue&amp;EBITDA'!W29 - 1, "")</f>
        <v/>
      </c>
      <c r="X33" s="63">
        <f>iferror('Quarterly Revenue&amp;EBITDA'!X33/'Quarterly Revenue&amp;EBITDA'!X29 - 1, "")</f>
        <v>0.2461726069</v>
      </c>
      <c r="Y33" s="43"/>
      <c r="Z33" s="43"/>
      <c r="AA33" s="43"/>
      <c r="AB33" s="43"/>
      <c r="AC33" s="43"/>
      <c r="AD33" s="43"/>
    </row>
    <row r="34">
      <c r="A34" s="42" t="s">
        <v>61</v>
      </c>
      <c r="B34" s="62"/>
      <c r="C34" s="63">
        <f>iferror('Quarterly Revenue&amp;EBITDA'!C34/'Quarterly Revenue&amp;EBITDA'!C30 - 1, "")</f>
        <v>0.05871632504</v>
      </c>
      <c r="D34" s="63">
        <f>iferror('Quarterly Revenue&amp;EBITDA'!D34/'Quarterly Revenue&amp;EBITDA'!D30 - 1, "")</f>
        <v>-0.2123246601</v>
      </c>
      <c r="E34" s="63">
        <f>iferror('Quarterly Revenue&amp;EBITDA'!E34/'Quarterly Revenue&amp;EBITDA'!E30 - 1, "")</f>
        <v>0.8979800325</v>
      </c>
      <c r="F34" s="63" t="str">
        <f>iferror('Quarterly Revenue&amp;EBITDA'!F34/'Quarterly Revenue&amp;EBITDA'!F30 - 1, "")</f>
        <v/>
      </c>
      <c r="G34" s="63" t="str">
        <f>iferror('Quarterly Revenue&amp;EBITDA'!G34/'Quarterly Revenue&amp;EBITDA'!G30 - 1, "")</f>
        <v/>
      </c>
      <c r="H34" s="63" t="str">
        <f>iferror('Quarterly Revenue&amp;EBITDA'!H34/'Quarterly Revenue&amp;EBITDA'!H30 - 1, "")</f>
        <v/>
      </c>
      <c r="I34" s="63" t="str">
        <f>iferror('Quarterly Revenue&amp;EBITDA'!I34/'Quarterly Revenue&amp;EBITDA'!I30 - 1, "")</f>
        <v/>
      </c>
      <c r="J34" s="63" t="str">
        <f>iferror('Quarterly Revenue&amp;EBITDA'!J34/'Quarterly Revenue&amp;EBITDA'!J30 - 1, "")</f>
        <v/>
      </c>
      <c r="K34" s="63" t="str">
        <f>iferror('Quarterly Revenue&amp;EBITDA'!K34/'Quarterly Revenue&amp;EBITDA'!K30 - 1, "")</f>
        <v/>
      </c>
      <c r="L34" s="63" t="str">
        <f>iferror('Quarterly Revenue&amp;EBITDA'!L34/'Quarterly Revenue&amp;EBITDA'!L30 - 1, "")</f>
        <v/>
      </c>
      <c r="M34" s="63" t="str">
        <f>iferror('Quarterly Revenue&amp;EBITDA'!M34/'Quarterly Revenue&amp;EBITDA'!M30 - 1, "")</f>
        <v/>
      </c>
      <c r="N34" s="63" t="str">
        <f>iferror('Quarterly Revenue&amp;EBITDA'!N34/'Quarterly Revenue&amp;EBITDA'!N30 - 1, "")</f>
        <v/>
      </c>
      <c r="O34" s="63">
        <f>iferror('Quarterly Revenue&amp;EBITDA'!O34/'Quarterly Revenue&amp;EBITDA'!O30 - 1, "")</f>
        <v>3.026236125</v>
      </c>
      <c r="P34" s="63" t="str">
        <f>iferror('Quarterly Revenue&amp;EBITDA'!P34/'Quarterly Revenue&amp;EBITDA'!P30 - 1, "")</f>
        <v/>
      </c>
      <c r="Q34" s="63" t="str">
        <f>iferror('Quarterly Revenue&amp;EBITDA'!Q34/'Quarterly Revenue&amp;EBITDA'!Q30 - 1, "")</f>
        <v/>
      </c>
      <c r="R34" s="63"/>
      <c r="S34" s="63"/>
      <c r="T34" s="63" t="str">
        <f>iferror('Quarterly Revenue&amp;EBITDA'!T34/'Quarterly Revenue&amp;EBITDA'!T30 - 1, "")</f>
        <v/>
      </c>
      <c r="U34" s="63" t="str">
        <f>iferror('Quarterly Revenue&amp;EBITDA'!U34/'Quarterly Revenue&amp;EBITDA'!U30 - 1, "")</f>
        <v/>
      </c>
      <c r="V34" s="63"/>
      <c r="W34" s="63" t="str">
        <f>iferror('Quarterly Revenue&amp;EBITDA'!W34/'Quarterly Revenue&amp;EBITDA'!W30 - 1, "")</f>
        <v/>
      </c>
      <c r="X34" s="63">
        <f>iferror('Quarterly Revenue&amp;EBITDA'!X34/'Quarterly Revenue&amp;EBITDA'!X30 - 1, "")</f>
        <v>0.2461726069</v>
      </c>
      <c r="Y34" s="43"/>
      <c r="Z34" s="43"/>
      <c r="AA34" s="43"/>
      <c r="AB34" s="43"/>
      <c r="AC34" s="43"/>
      <c r="AD34" s="43"/>
    </row>
    <row r="35">
      <c r="A35" s="42" t="s">
        <v>62</v>
      </c>
      <c r="B35" s="62"/>
      <c r="C35" s="63">
        <f>iferror('Quarterly Revenue&amp;EBITDA'!C35/'Quarterly Revenue&amp;EBITDA'!C31 - 1, "")</f>
        <v>0.05281001605</v>
      </c>
      <c r="D35" s="63">
        <f>iferror('Quarterly Revenue&amp;EBITDA'!D35/'Quarterly Revenue&amp;EBITDA'!D31 - 1, "")</f>
        <v>0.1499946012</v>
      </c>
      <c r="E35" s="63">
        <f>iferror('Quarterly Revenue&amp;EBITDA'!E35/'Quarterly Revenue&amp;EBITDA'!E31 - 1, "")</f>
        <v>0.6496953979</v>
      </c>
      <c r="F35" s="63" t="str">
        <f>iferror('Quarterly Revenue&amp;EBITDA'!F35/'Quarterly Revenue&amp;EBITDA'!F31 - 1, "")</f>
        <v/>
      </c>
      <c r="G35" s="63" t="str">
        <f>iferror('Quarterly Revenue&amp;EBITDA'!G35/'Quarterly Revenue&amp;EBITDA'!G31 - 1, "")</f>
        <v/>
      </c>
      <c r="H35" s="63" t="str">
        <f>iferror('Quarterly Revenue&amp;EBITDA'!H35/'Quarterly Revenue&amp;EBITDA'!H31 - 1, "")</f>
        <v/>
      </c>
      <c r="I35" s="63" t="str">
        <f>iferror('Quarterly Revenue&amp;EBITDA'!I35/'Quarterly Revenue&amp;EBITDA'!I31 - 1, "")</f>
        <v/>
      </c>
      <c r="J35" s="63" t="str">
        <f>iferror('Quarterly Revenue&amp;EBITDA'!J35/'Quarterly Revenue&amp;EBITDA'!J31 - 1, "")</f>
        <v/>
      </c>
      <c r="K35" s="63" t="str">
        <f>iferror('Quarterly Revenue&amp;EBITDA'!K35/'Quarterly Revenue&amp;EBITDA'!K31 - 1, "")</f>
        <v/>
      </c>
      <c r="L35" s="63" t="str">
        <f>iferror('Quarterly Revenue&amp;EBITDA'!L35/'Quarterly Revenue&amp;EBITDA'!L31 - 1, "")</f>
        <v/>
      </c>
      <c r="M35" s="63" t="str">
        <f>iferror('Quarterly Revenue&amp;EBITDA'!M35/'Quarterly Revenue&amp;EBITDA'!M31 - 1, "")</f>
        <v/>
      </c>
      <c r="N35" s="63" t="str">
        <f>iferror('Quarterly Revenue&amp;EBITDA'!N35/'Quarterly Revenue&amp;EBITDA'!N31 - 1, "")</f>
        <v/>
      </c>
      <c r="O35" s="63">
        <f>iferror('Quarterly Revenue&amp;EBITDA'!O35/'Quarterly Revenue&amp;EBITDA'!O31 - 1, "")</f>
        <v>3.026236125</v>
      </c>
      <c r="P35" s="63" t="str">
        <f>iferror('Quarterly Revenue&amp;EBITDA'!P35/'Quarterly Revenue&amp;EBITDA'!P31 - 1, "")</f>
        <v/>
      </c>
      <c r="Q35" s="63" t="str">
        <f>iferror('Quarterly Revenue&amp;EBITDA'!Q35/'Quarterly Revenue&amp;EBITDA'!Q31 - 1, "")</f>
        <v/>
      </c>
      <c r="R35" s="63"/>
      <c r="S35" s="63" t="str">
        <f>iferror('Quarterly Revenue&amp;EBITDA'!S35/'Quarterly Revenue&amp;EBITDA'!S31 - 1, "")</f>
        <v/>
      </c>
      <c r="T35" s="63" t="str">
        <f>iferror('Quarterly Revenue&amp;EBITDA'!T35/'Quarterly Revenue&amp;EBITDA'!T31 - 1, "")</f>
        <v/>
      </c>
      <c r="U35" s="63" t="str">
        <f>iferror('Quarterly Revenue&amp;EBITDA'!U35/'Quarterly Revenue&amp;EBITDA'!U31 - 1, "")</f>
        <v/>
      </c>
      <c r="V35" s="63"/>
      <c r="W35" s="63" t="str">
        <f>iferror('Quarterly Revenue&amp;EBITDA'!W35/'Quarterly Revenue&amp;EBITDA'!W31 - 1, "")</f>
        <v/>
      </c>
      <c r="X35" s="63">
        <f>iferror('Quarterly Revenue&amp;EBITDA'!X35/'Quarterly Revenue&amp;EBITDA'!X31 - 1, "")</f>
        <v>0.2461726069</v>
      </c>
      <c r="Y35" s="43"/>
      <c r="Z35" s="43"/>
      <c r="AA35" s="43"/>
      <c r="AB35" s="43"/>
      <c r="AC35" s="43"/>
      <c r="AD35" s="43"/>
    </row>
    <row r="36">
      <c r="A36" s="42" t="s">
        <v>63</v>
      </c>
      <c r="B36" s="62"/>
      <c r="C36" s="63">
        <f>iferror('Quarterly Revenue&amp;EBITDA'!C36/'Quarterly Revenue&amp;EBITDA'!C32 - 1, "")</f>
        <v>0.05281001605</v>
      </c>
      <c r="D36" s="63">
        <f>iferror('Quarterly Revenue&amp;EBITDA'!D36/'Quarterly Revenue&amp;EBITDA'!D32 - 1, "")</f>
        <v>0.1499946012</v>
      </c>
      <c r="E36" s="63">
        <f>iferror('Quarterly Revenue&amp;EBITDA'!E36/'Quarterly Revenue&amp;EBITDA'!E32 - 1, "")</f>
        <v>0.6496953979</v>
      </c>
      <c r="F36" s="63" t="str">
        <f>iferror('Quarterly Revenue&amp;EBITDA'!F36/'Quarterly Revenue&amp;EBITDA'!F32 - 1, "")</f>
        <v/>
      </c>
      <c r="G36" s="63" t="str">
        <f>iferror('Quarterly Revenue&amp;EBITDA'!G36/'Quarterly Revenue&amp;EBITDA'!G32 - 1, "")</f>
        <v/>
      </c>
      <c r="H36" s="63" t="str">
        <f>iferror('Quarterly Revenue&amp;EBITDA'!H36/'Quarterly Revenue&amp;EBITDA'!H32 - 1, "")</f>
        <v/>
      </c>
      <c r="I36" s="63" t="str">
        <f>iferror('Quarterly Revenue&amp;EBITDA'!I36/'Quarterly Revenue&amp;EBITDA'!I32 - 1, "")</f>
        <v/>
      </c>
      <c r="J36" s="63" t="str">
        <f>iferror('Quarterly Revenue&amp;EBITDA'!J36/'Quarterly Revenue&amp;EBITDA'!J32 - 1, "")</f>
        <v/>
      </c>
      <c r="K36" s="63" t="str">
        <f>iferror('Quarterly Revenue&amp;EBITDA'!K36/'Quarterly Revenue&amp;EBITDA'!K32 - 1, "")</f>
        <v/>
      </c>
      <c r="L36" s="63" t="str">
        <f>iferror('Quarterly Revenue&amp;EBITDA'!L36/'Quarterly Revenue&amp;EBITDA'!L32 - 1, "")</f>
        <v/>
      </c>
      <c r="M36" s="63" t="str">
        <f>iferror('Quarterly Revenue&amp;EBITDA'!M36/'Quarterly Revenue&amp;EBITDA'!M32 - 1, "")</f>
        <v/>
      </c>
      <c r="N36" s="63" t="str">
        <f>iferror('Quarterly Revenue&amp;EBITDA'!N36/'Quarterly Revenue&amp;EBITDA'!N32 - 1, "")</f>
        <v/>
      </c>
      <c r="O36" s="63">
        <f>iferror('Quarterly Revenue&amp;EBITDA'!O36/'Quarterly Revenue&amp;EBITDA'!O32 - 1, "")</f>
        <v>3.026236125</v>
      </c>
      <c r="P36" s="63" t="str">
        <f>iferror('Quarterly Revenue&amp;EBITDA'!P36/'Quarterly Revenue&amp;EBITDA'!P32 - 1, "")</f>
        <v/>
      </c>
      <c r="Q36" s="63" t="str">
        <f>iferror('Quarterly Revenue&amp;EBITDA'!Q36/'Quarterly Revenue&amp;EBITDA'!Q32 - 1, "")</f>
        <v/>
      </c>
      <c r="R36" s="63"/>
      <c r="S36" s="63" t="str">
        <f>iferror('Quarterly Revenue&amp;EBITDA'!S36/'Quarterly Revenue&amp;EBITDA'!S32 - 1, "")</f>
        <v/>
      </c>
      <c r="T36" s="63" t="str">
        <f>iferror('Quarterly Revenue&amp;EBITDA'!T36/'Quarterly Revenue&amp;EBITDA'!T32 - 1, "")</f>
        <v/>
      </c>
      <c r="U36" s="63" t="str">
        <f>iferror('Quarterly Revenue&amp;EBITDA'!U36/'Quarterly Revenue&amp;EBITDA'!U32 - 1, "")</f>
        <v/>
      </c>
      <c r="V36" s="63"/>
      <c r="W36" s="63" t="str">
        <f>iferror('Quarterly Revenue&amp;EBITDA'!W36/'Quarterly Revenue&amp;EBITDA'!W32 - 1, "")</f>
        <v/>
      </c>
      <c r="X36" s="63">
        <f>iferror('Quarterly Revenue&amp;EBITDA'!X36/'Quarterly Revenue&amp;EBITDA'!X32 - 1, "")</f>
        <v>0.2461726069</v>
      </c>
      <c r="Y36" s="43"/>
      <c r="Z36" s="43"/>
      <c r="AA36" s="43"/>
      <c r="AB36" s="43"/>
      <c r="AC36" s="43"/>
      <c r="AD36" s="43"/>
    </row>
    <row r="37">
      <c r="A37" s="42" t="s">
        <v>64</v>
      </c>
      <c r="B37" s="62"/>
      <c r="C37" s="63">
        <f>iferror('Quarterly Revenue&amp;EBITDA'!C37/'Quarterly Revenue&amp;EBITDA'!C33 - 1, "")</f>
        <v>0.05281001605</v>
      </c>
      <c r="D37" s="63">
        <f>iferror('Quarterly Revenue&amp;EBITDA'!D37/'Quarterly Revenue&amp;EBITDA'!D33 - 1, "")</f>
        <v>0.1499946012</v>
      </c>
      <c r="E37" s="63">
        <f>iferror('Quarterly Revenue&amp;EBITDA'!E37/'Quarterly Revenue&amp;EBITDA'!E33 - 1, "")</f>
        <v>0.6496953979</v>
      </c>
      <c r="F37" s="63" t="str">
        <f>iferror('Quarterly Revenue&amp;EBITDA'!F37/'Quarterly Revenue&amp;EBITDA'!F33 - 1, "")</f>
        <v/>
      </c>
      <c r="G37" s="63" t="str">
        <f>iferror('Quarterly Revenue&amp;EBITDA'!G37/'Quarterly Revenue&amp;EBITDA'!G33 - 1, "")</f>
        <v/>
      </c>
      <c r="H37" s="63" t="str">
        <f>iferror('Quarterly Revenue&amp;EBITDA'!H37/'Quarterly Revenue&amp;EBITDA'!H33 - 1, "")</f>
        <v/>
      </c>
      <c r="I37" s="63" t="str">
        <f>iferror('Quarterly Revenue&amp;EBITDA'!I37/'Quarterly Revenue&amp;EBITDA'!I33 - 1, "")</f>
        <v/>
      </c>
      <c r="J37" s="63" t="str">
        <f>iferror('Quarterly Revenue&amp;EBITDA'!J37/'Quarterly Revenue&amp;EBITDA'!J33 - 1, "")</f>
        <v/>
      </c>
      <c r="K37" s="63" t="str">
        <f>iferror('Quarterly Revenue&amp;EBITDA'!K37/'Quarterly Revenue&amp;EBITDA'!K33 - 1, "")</f>
        <v/>
      </c>
      <c r="L37" s="63" t="str">
        <f>iferror('Quarterly Revenue&amp;EBITDA'!L37/'Quarterly Revenue&amp;EBITDA'!L33 - 1, "")</f>
        <v/>
      </c>
      <c r="M37" s="63" t="str">
        <f>iferror('Quarterly Revenue&amp;EBITDA'!M37/'Quarterly Revenue&amp;EBITDA'!M33 - 1, "")</f>
        <v/>
      </c>
      <c r="N37" s="63" t="str">
        <f>iferror('Quarterly Revenue&amp;EBITDA'!N37/'Quarterly Revenue&amp;EBITDA'!N33 - 1, "")</f>
        <v/>
      </c>
      <c r="O37" s="63">
        <f>iferror('Quarterly Revenue&amp;EBITDA'!O37/'Quarterly Revenue&amp;EBITDA'!O33 - 1, "")</f>
        <v>1.149122807</v>
      </c>
      <c r="P37" s="63" t="str">
        <f>iferror('Quarterly Revenue&amp;EBITDA'!P37/'Quarterly Revenue&amp;EBITDA'!P33 - 1, "")</f>
        <v/>
      </c>
      <c r="Q37" s="63" t="str">
        <f>iferror('Quarterly Revenue&amp;EBITDA'!Q37/'Quarterly Revenue&amp;EBITDA'!Q33 - 1, "")</f>
        <v/>
      </c>
      <c r="R37" s="63"/>
      <c r="S37" s="63" t="str">
        <f>iferror('Quarterly Revenue&amp;EBITDA'!S37/'Quarterly Revenue&amp;EBITDA'!S33 - 1, "")</f>
        <v/>
      </c>
      <c r="T37" s="63" t="str">
        <f>iferror('Quarterly Revenue&amp;EBITDA'!T37/'Quarterly Revenue&amp;EBITDA'!T33 - 1, "")</f>
        <v/>
      </c>
      <c r="U37" s="63" t="str">
        <f>iferror('Quarterly Revenue&amp;EBITDA'!U37/'Quarterly Revenue&amp;EBITDA'!U33 - 1, "")</f>
        <v/>
      </c>
      <c r="V37" s="63"/>
      <c r="W37" s="63" t="str">
        <f>iferror('Quarterly Revenue&amp;EBITDA'!W37/'Quarterly Revenue&amp;EBITDA'!W33 - 1, "")</f>
        <v/>
      </c>
      <c r="X37" s="63">
        <f>iferror('Quarterly Revenue&amp;EBITDA'!X37/'Quarterly Revenue&amp;EBITDA'!X33 - 1, "")</f>
        <v>0.0892001419</v>
      </c>
      <c r="Y37" s="43"/>
      <c r="Z37" s="43"/>
      <c r="AA37" s="43"/>
      <c r="AB37" s="43"/>
      <c r="AC37" s="43"/>
      <c r="AD37" s="43"/>
    </row>
    <row r="38">
      <c r="A38" s="42" t="s">
        <v>65</v>
      </c>
      <c r="B38" s="62"/>
      <c r="C38" s="63">
        <f>iferror('Quarterly Revenue&amp;EBITDA'!C38/'Quarterly Revenue&amp;EBITDA'!C34 - 1, "")</f>
        <v>0.05281001605</v>
      </c>
      <c r="D38" s="63">
        <f>iferror('Quarterly Revenue&amp;EBITDA'!D38/'Quarterly Revenue&amp;EBITDA'!D34 - 1, "")</f>
        <v>0.1499946012</v>
      </c>
      <c r="E38" s="63">
        <f>iferror('Quarterly Revenue&amp;EBITDA'!E38/'Quarterly Revenue&amp;EBITDA'!E34 - 1, "")</f>
        <v>0.6496953979</v>
      </c>
      <c r="F38" s="63" t="str">
        <f>iferror('Quarterly Revenue&amp;EBITDA'!F38/'Quarterly Revenue&amp;EBITDA'!F34 - 1, "")</f>
        <v/>
      </c>
      <c r="G38" s="63" t="str">
        <f>iferror('Quarterly Revenue&amp;EBITDA'!G38/'Quarterly Revenue&amp;EBITDA'!G34 - 1, "")</f>
        <v/>
      </c>
      <c r="H38" s="63" t="str">
        <f>iferror('Quarterly Revenue&amp;EBITDA'!H38/'Quarterly Revenue&amp;EBITDA'!H34 - 1, "")</f>
        <v/>
      </c>
      <c r="I38" s="63" t="str">
        <f>iferror('Quarterly Revenue&amp;EBITDA'!I38/'Quarterly Revenue&amp;EBITDA'!I34 - 1, "")</f>
        <v/>
      </c>
      <c r="J38" s="63" t="str">
        <f>iferror('Quarterly Revenue&amp;EBITDA'!J38/'Quarterly Revenue&amp;EBITDA'!J34 - 1, "")</f>
        <v/>
      </c>
      <c r="K38" s="63" t="str">
        <f>iferror('Quarterly Revenue&amp;EBITDA'!K38/'Quarterly Revenue&amp;EBITDA'!K34 - 1, "")</f>
        <v/>
      </c>
      <c r="L38" s="63" t="str">
        <f>iferror('Quarterly Revenue&amp;EBITDA'!L38/'Quarterly Revenue&amp;EBITDA'!L34 - 1, "")</f>
        <v/>
      </c>
      <c r="M38" s="63" t="str">
        <f>iferror('Quarterly Revenue&amp;EBITDA'!M38/'Quarterly Revenue&amp;EBITDA'!M34 - 1, "")</f>
        <v/>
      </c>
      <c r="N38" s="63" t="str">
        <f>iferror('Quarterly Revenue&amp;EBITDA'!N38/'Quarterly Revenue&amp;EBITDA'!N34 - 1, "")</f>
        <v/>
      </c>
      <c r="O38" s="63">
        <f>iferror('Quarterly Revenue&amp;EBITDA'!O38/'Quarterly Revenue&amp;EBITDA'!O34 - 1, "")</f>
        <v>1.149122807</v>
      </c>
      <c r="P38" s="63" t="str">
        <f>iferror('Quarterly Revenue&amp;EBITDA'!P38/'Quarterly Revenue&amp;EBITDA'!P34 - 1, "")</f>
        <v/>
      </c>
      <c r="Q38" s="63" t="str">
        <f>iferror('Quarterly Revenue&amp;EBITDA'!Q38/'Quarterly Revenue&amp;EBITDA'!Q34 - 1, "")</f>
        <v/>
      </c>
      <c r="R38" s="63"/>
      <c r="S38" s="63" t="str">
        <f>iferror('Quarterly Revenue&amp;EBITDA'!S38/'Quarterly Revenue&amp;EBITDA'!S34 - 1, "")</f>
        <v/>
      </c>
      <c r="T38" s="63" t="str">
        <f>iferror('Quarterly Revenue&amp;EBITDA'!T38/'Quarterly Revenue&amp;EBITDA'!T34 - 1, "")</f>
        <v/>
      </c>
      <c r="U38" s="63" t="str">
        <f>iferror('Quarterly Revenue&amp;EBITDA'!U38/'Quarterly Revenue&amp;EBITDA'!U34 - 1, "")</f>
        <v/>
      </c>
      <c r="V38" s="63" t="str">
        <f>iferror('Quarterly Revenue&amp;EBITDA'!V38/'Quarterly Revenue&amp;EBITDA'!V34 - 1, "")</f>
        <v/>
      </c>
      <c r="W38" s="63" t="str">
        <f>iferror('Quarterly Revenue&amp;EBITDA'!W38/'Quarterly Revenue&amp;EBITDA'!W34 - 1, "")</f>
        <v/>
      </c>
      <c r="X38" s="63">
        <f>iferror('Quarterly Revenue&amp;EBITDA'!X38/'Quarterly Revenue&amp;EBITDA'!X34 - 1, "")</f>
        <v>0.0892001419</v>
      </c>
      <c r="Y38" s="43"/>
      <c r="Z38" s="43"/>
      <c r="AA38" s="43"/>
      <c r="AB38" s="43"/>
      <c r="AC38" s="43"/>
      <c r="AD38" s="43"/>
    </row>
    <row r="39">
      <c r="A39" s="42" t="s">
        <v>66</v>
      </c>
      <c r="B39" s="62"/>
      <c r="C39" s="63">
        <f>iferror('Quarterly Revenue&amp;EBITDA'!C39/'Quarterly Revenue&amp;EBITDA'!C35 - 1, "")</f>
        <v>0.1666663204</v>
      </c>
      <c r="D39" s="63">
        <f>iferror('Quarterly Revenue&amp;EBITDA'!D39/'Quarterly Revenue&amp;EBITDA'!D35 - 1, "")</f>
        <v>0.0557364983</v>
      </c>
      <c r="E39" s="63">
        <f>iferror('Quarterly Revenue&amp;EBITDA'!E39/'Quarterly Revenue&amp;EBITDA'!E35 - 1, "")</f>
        <v>0.5025656997</v>
      </c>
      <c r="F39" s="63" t="str">
        <f>iferror('Quarterly Revenue&amp;EBITDA'!F39/'Quarterly Revenue&amp;EBITDA'!F35 - 1, "")</f>
        <v/>
      </c>
      <c r="G39" s="63" t="str">
        <f>iferror('Quarterly Revenue&amp;EBITDA'!G39/'Quarterly Revenue&amp;EBITDA'!G35 - 1, "")</f>
        <v/>
      </c>
      <c r="H39" s="63" t="str">
        <f>iferror('Quarterly Revenue&amp;EBITDA'!H39/'Quarterly Revenue&amp;EBITDA'!H35 - 1, "")</f>
        <v/>
      </c>
      <c r="I39" s="63" t="str">
        <f>iferror('Quarterly Revenue&amp;EBITDA'!I39/'Quarterly Revenue&amp;EBITDA'!I35 - 1, "")</f>
        <v/>
      </c>
      <c r="J39" s="63" t="str">
        <f>iferror('Quarterly Revenue&amp;EBITDA'!J39/'Quarterly Revenue&amp;EBITDA'!J35 - 1, "")</f>
        <v/>
      </c>
      <c r="K39" s="63" t="str">
        <f>iferror('Quarterly Revenue&amp;EBITDA'!K39/'Quarterly Revenue&amp;EBITDA'!K35 - 1, "")</f>
        <v/>
      </c>
      <c r="L39" s="63" t="str">
        <f>iferror('Quarterly Revenue&amp;EBITDA'!L39/'Quarterly Revenue&amp;EBITDA'!L35 - 1, "")</f>
        <v/>
      </c>
      <c r="M39" s="63" t="str">
        <f>iferror('Quarterly Revenue&amp;EBITDA'!M39/'Quarterly Revenue&amp;EBITDA'!M35 - 1, "")</f>
        <v/>
      </c>
      <c r="N39" s="63" t="str">
        <f>iferror('Quarterly Revenue&amp;EBITDA'!N39/'Quarterly Revenue&amp;EBITDA'!N35 - 1, "")</f>
        <v/>
      </c>
      <c r="O39" s="63">
        <f>iferror('Quarterly Revenue&amp;EBITDA'!O39/'Quarterly Revenue&amp;EBITDA'!O35 - 1, "")</f>
        <v>1.149122807</v>
      </c>
      <c r="P39" s="63" t="str">
        <f>iferror('Quarterly Revenue&amp;EBITDA'!P39/'Quarterly Revenue&amp;EBITDA'!P35 - 1, "")</f>
        <v/>
      </c>
      <c r="Q39" s="63" t="str">
        <f>iferror('Quarterly Revenue&amp;EBITDA'!Q39/'Quarterly Revenue&amp;EBITDA'!Q35 - 1, "")</f>
        <v/>
      </c>
      <c r="R39" s="63"/>
      <c r="S39" s="63" t="str">
        <f>iferror('Quarterly Revenue&amp;EBITDA'!S39/'Quarterly Revenue&amp;EBITDA'!S35 - 1, "")</f>
        <v/>
      </c>
      <c r="T39" s="63" t="str">
        <f>iferror('Quarterly Revenue&amp;EBITDA'!T39/'Quarterly Revenue&amp;EBITDA'!T35 - 1, "")</f>
        <v/>
      </c>
      <c r="U39" s="63" t="str">
        <f>iferror('Quarterly Revenue&amp;EBITDA'!U39/'Quarterly Revenue&amp;EBITDA'!U35 - 1, "")</f>
        <v/>
      </c>
      <c r="V39" s="63" t="str">
        <f>iferror('Quarterly Revenue&amp;EBITDA'!V39/'Quarterly Revenue&amp;EBITDA'!V35 - 1, "")</f>
        <v/>
      </c>
      <c r="W39" s="63" t="str">
        <f>iferror('Quarterly Revenue&amp;EBITDA'!W39/'Quarterly Revenue&amp;EBITDA'!W35 - 1, "")</f>
        <v/>
      </c>
      <c r="X39" s="63">
        <f>iferror('Quarterly Revenue&amp;EBITDA'!X39/'Quarterly Revenue&amp;EBITDA'!X35 - 1, "")</f>
        <v>0.0892001419</v>
      </c>
      <c r="Y39" s="43"/>
      <c r="Z39" s="43"/>
      <c r="AA39" s="43"/>
      <c r="AB39" s="43"/>
      <c r="AC39" s="43"/>
      <c r="AD39" s="43"/>
    </row>
    <row r="40">
      <c r="A40" s="42" t="s">
        <v>67</v>
      </c>
      <c r="B40" s="62"/>
      <c r="C40" s="63">
        <f>iferror('Quarterly Revenue&amp;EBITDA'!C40/'Quarterly Revenue&amp;EBITDA'!C36 - 1, "")</f>
        <v>0.1666663204</v>
      </c>
      <c r="D40" s="63">
        <f>iferror('Quarterly Revenue&amp;EBITDA'!D40/'Quarterly Revenue&amp;EBITDA'!D36 - 1, "")</f>
        <v>0.0557364983</v>
      </c>
      <c r="E40" s="63">
        <f>iferror('Quarterly Revenue&amp;EBITDA'!E40/'Quarterly Revenue&amp;EBITDA'!E36 - 1, "")</f>
        <v>0.5025656997</v>
      </c>
      <c r="F40" s="63" t="str">
        <f>iferror('Quarterly Revenue&amp;EBITDA'!F40/'Quarterly Revenue&amp;EBITDA'!F36 - 1, "")</f>
        <v/>
      </c>
      <c r="G40" s="63" t="str">
        <f>iferror('Quarterly Revenue&amp;EBITDA'!G40/'Quarterly Revenue&amp;EBITDA'!G36 - 1, "")</f>
        <v/>
      </c>
      <c r="H40" s="63" t="str">
        <f>iferror('Quarterly Revenue&amp;EBITDA'!H40/'Quarterly Revenue&amp;EBITDA'!H36 - 1, "")</f>
        <v/>
      </c>
      <c r="I40" s="63" t="str">
        <f>iferror('Quarterly Revenue&amp;EBITDA'!I40/'Quarterly Revenue&amp;EBITDA'!I36 - 1, "")</f>
        <v/>
      </c>
      <c r="J40" s="63" t="str">
        <f>iferror('Quarterly Revenue&amp;EBITDA'!J40/'Quarterly Revenue&amp;EBITDA'!J36 - 1, "")</f>
        <v/>
      </c>
      <c r="K40" s="63" t="str">
        <f>iferror('Quarterly Revenue&amp;EBITDA'!K40/'Quarterly Revenue&amp;EBITDA'!K36 - 1, "")</f>
        <v/>
      </c>
      <c r="L40" s="63" t="str">
        <f>iferror('Quarterly Revenue&amp;EBITDA'!L40/'Quarterly Revenue&amp;EBITDA'!L36 - 1, "")</f>
        <v/>
      </c>
      <c r="M40" s="63" t="str">
        <f>iferror('Quarterly Revenue&amp;EBITDA'!M40/'Quarterly Revenue&amp;EBITDA'!M36 - 1, "")</f>
        <v/>
      </c>
      <c r="N40" s="63" t="str">
        <f>iferror('Quarterly Revenue&amp;EBITDA'!N40/'Quarterly Revenue&amp;EBITDA'!N36 - 1, "")</f>
        <v/>
      </c>
      <c r="O40" s="63">
        <f>iferror('Quarterly Revenue&amp;EBITDA'!O40/'Quarterly Revenue&amp;EBITDA'!O36 - 1, "")</f>
        <v>1.149122807</v>
      </c>
      <c r="P40" s="63" t="str">
        <f>iferror('Quarterly Revenue&amp;EBITDA'!P40/'Quarterly Revenue&amp;EBITDA'!P36 - 1, "")</f>
        <v/>
      </c>
      <c r="Q40" s="63" t="str">
        <f>iferror('Quarterly Revenue&amp;EBITDA'!Q40/'Quarterly Revenue&amp;EBITDA'!Q36 - 1, "")</f>
        <v/>
      </c>
      <c r="R40" s="63"/>
      <c r="S40" s="63" t="str">
        <f>iferror('Quarterly Revenue&amp;EBITDA'!S40/'Quarterly Revenue&amp;EBITDA'!S36 - 1, "")</f>
        <v/>
      </c>
      <c r="T40" s="63" t="str">
        <f>iferror('Quarterly Revenue&amp;EBITDA'!T40/'Quarterly Revenue&amp;EBITDA'!T36 - 1, "")</f>
        <v/>
      </c>
      <c r="U40" s="63" t="str">
        <f>iferror('Quarterly Revenue&amp;EBITDA'!U40/'Quarterly Revenue&amp;EBITDA'!U36 - 1, "")</f>
        <v/>
      </c>
      <c r="V40" s="63" t="str">
        <f>iferror('Quarterly Revenue&amp;EBITDA'!V40/'Quarterly Revenue&amp;EBITDA'!V36 - 1, "")</f>
        <v/>
      </c>
      <c r="W40" s="63" t="str">
        <f>iferror('Quarterly Revenue&amp;EBITDA'!W40/'Quarterly Revenue&amp;EBITDA'!W36 - 1, "")</f>
        <v/>
      </c>
      <c r="X40" s="63">
        <f>iferror('Quarterly Revenue&amp;EBITDA'!X40/'Quarterly Revenue&amp;EBITDA'!X36 - 1, "")</f>
        <v>0.0892001419</v>
      </c>
      <c r="Y40" s="43"/>
      <c r="Z40" s="43"/>
      <c r="AA40" s="43"/>
      <c r="AB40" s="43"/>
      <c r="AC40" s="43"/>
      <c r="AD40" s="43"/>
    </row>
    <row r="41">
      <c r="A41" s="42" t="s">
        <v>68</v>
      </c>
      <c r="B41" s="62"/>
      <c r="C41" s="63">
        <f>iferror('Quarterly Revenue&amp;EBITDA'!C41/'Quarterly Revenue&amp;EBITDA'!C37 - 1, "")</f>
        <v>0.1666663204</v>
      </c>
      <c r="D41" s="63">
        <f>iferror('Quarterly Revenue&amp;EBITDA'!D41/'Quarterly Revenue&amp;EBITDA'!D37 - 1, "")</f>
        <v>0.0557364983</v>
      </c>
      <c r="E41" s="63">
        <f>iferror('Quarterly Revenue&amp;EBITDA'!E41/'Quarterly Revenue&amp;EBITDA'!E37 - 1, "")</f>
        <v>0.5025656997</v>
      </c>
      <c r="F41" s="63" t="str">
        <f>iferror('Quarterly Revenue&amp;EBITDA'!F41/'Quarterly Revenue&amp;EBITDA'!F37 - 1, "")</f>
        <v/>
      </c>
      <c r="G41" s="63" t="str">
        <f>iferror('Quarterly Revenue&amp;EBITDA'!G41/'Quarterly Revenue&amp;EBITDA'!G37 - 1, "")</f>
        <v/>
      </c>
      <c r="H41" s="63" t="str">
        <f>iferror('Quarterly Revenue&amp;EBITDA'!H41/'Quarterly Revenue&amp;EBITDA'!H37 - 1, "")</f>
        <v/>
      </c>
      <c r="I41" s="63" t="str">
        <f>iferror('Quarterly Revenue&amp;EBITDA'!I41/'Quarterly Revenue&amp;EBITDA'!I37 - 1, "")</f>
        <v/>
      </c>
      <c r="J41" s="63" t="str">
        <f>iferror('Quarterly Revenue&amp;EBITDA'!J41/'Quarterly Revenue&amp;EBITDA'!J37 - 1, "")</f>
        <v/>
      </c>
      <c r="K41" s="63" t="str">
        <f>iferror('Quarterly Revenue&amp;EBITDA'!K41/'Quarterly Revenue&amp;EBITDA'!K37 - 1, "")</f>
        <v/>
      </c>
      <c r="L41" s="63" t="str">
        <f>iferror('Quarterly Revenue&amp;EBITDA'!L41/'Quarterly Revenue&amp;EBITDA'!L37 - 1, "")</f>
        <v/>
      </c>
      <c r="M41" s="63" t="str">
        <f>iferror('Quarterly Revenue&amp;EBITDA'!M41/'Quarterly Revenue&amp;EBITDA'!M37 - 1, "")</f>
        <v/>
      </c>
      <c r="N41" s="63" t="str">
        <f>iferror('Quarterly Revenue&amp;EBITDA'!N41/'Quarterly Revenue&amp;EBITDA'!N37 - 1, "")</f>
        <v/>
      </c>
      <c r="O41" s="63">
        <f>iferror('Quarterly Revenue&amp;EBITDA'!O41/'Quarterly Revenue&amp;EBITDA'!O37 - 1, "")</f>
        <v>0.5605830904</v>
      </c>
      <c r="P41" s="63" t="str">
        <f>iferror('Quarterly Revenue&amp;EBITDA'!P41/'Quarterly Revenue&amp;EBITDA'!P37 - 1, "")</f>
        <v/>
      </c>
      <c r="Q41" s="63" t="str">
        <f>iferror('Quarterly Revenue&amp;EBITDA'!Q41/'Quarterly Revenue&amp;EBITDA'!Q37 - 1, "")</f>
        <v/>
      </c>
      <c r="R41" s="63"/>
      <c r="S41" s="63" t="str">
        <f>iferror('Quarterly Revenue&amp;EBITDA'!S41/'Quarterly Revenue&amp;EBITDA'!S37 - 1, "")</f>
        <v/>
      </c>
      <c r="T41" s="63" t="str">
        <f>iferror('Quarterly Revenue&amp;EBITDA'!T41/'Quarterly Revenue&amp;EBITDA'!T37 - 1, "")</f>
        <v/>
      </c>
      <c r="U41" s="63" t="str">
        <f>iferror('Quarterly Revenue&amp;EBITDA'!U41/'Quarterly Revenue&amp;EBITDA'!U37 - 1, "")</f>
        <v/>
      </c>
      <c r="V41" s="63" t="str">
        <f>iferror('Quarterly Revenue&amp;EBITDA'!V41/'Quarterly Revenue&amp;EBITDA'!V37 - 1, "")</f>
        <v/>
      </c>
      <c r="W41" s="63" t="str">
        <f>iferror('Quarterly Revenue&amp;EBITDA'!W41/'Quarterly Revenue&amp;EBITDA'!W37 - 1, "")</f>
        <v/>
      </c>
      <c r="X41" s="63">
        <f>iferror('Quarterly Revenue&amp;EBITDA'!X41/'Quarterly Revenue&amp;EBITDA'!X37 - 1, "")</f>
        <v>0.3021653027</v>
      </c>
      <c r="Y41" s="43"/>
      <c r="Z41" s="43"/>
      <c r="AA41" s="43"/>
      <c r="AB41" s="43"/>
      <c r="AC41" s="43"/>
      <c r="AD41" s="43"/>
    </row>
    <row r="42">
      <c r="A42" s="42" t="s">
        <v>69</v>
      </c>
      <c r="B42" s="62"/>
      <c r="C42" s="63">
        <f>iferror('Quarterly Revenue&amp;EBITDA'!C42/'Quarterly Revenue&amp;EBITDA'!C38 - 1, "")</f>
        <v>0.1666663204</v>
      </c>
      <c r="D42" s="63">
        <f>iferror('Quarterly Revenue&amp;EBITDA'!D42/'Quarterly Revenue&amp;EBITDA'!D38 - 1, "")</f>
        <v>0.0557364983</v>
      </c>
      <c r="E42" s="63">
        <f>iferror('Quarterly Revenue&amp;EBITDA'!E42/'Quarterly Revenue&amp;EBITDA'!E38 - 1, "")</f>
        <v>0.5025656997</v>
      </c>
      <c r="F42" s="63" t="str">
        <f>iferror('Quarterly Revenue&amp;EBITDA'!F42/'Quarterly Revenue&amp;EBITDA'!F38 - 1, "")</f>
        <v/>
      </c>
      <c r="G42" s="63" t="str">
        <f>iferror('Quarterly Revenue&amp;EBITDA'!G42/'Quarterly Revenue&amp;EBITDA'!G38 - 1, "")</f>
        <v/>
      </c>
      <c r="H42" s="63" t="str">
        <f>iferror('Quarterly Revenue&amp;EBITDA'!H42/'Quarterly Revenue&amp;EBITDA'!H38 - 1, "")</f>
        <v/>
      </c>
      <c r="I42" s="63" t="str">
        <f>iferror('Quarterly Revenue&amp;EBITDA'!I42/'Quarterly Revenue&amp;EBITDA'!I38 - 1, "")</f>
        <v/>
      </c>
      <c r="J42" s="63" t="str">
        <f>iferror('Quarterly Revenue&amp;EBITDA'!J42/'Quarterly Revenue&amp;EBITDA'!J38 - 1, "")</f>
        <v/>
      </c>
      <c r="K42" s="63" t="str">
        <f>iferror('Quarterly Revenue&amp;EBITDA'!K42/'Quarterly Revenue&amp;EBITDA'!K38 - 1, "")</f>
        <v/>
      </c>
      <c r="L42" s="63" t="str">
        <f>iferror('Quarterly Revenue&amp;EBITDA'!L42/'Quarterly Revenue&amp;EBITDA'!L38 - 1, "")</f>
        <v/>
      </c>
      <c r="M42" s="63" t="str">
        <f>iferror('Quarterly Revenue&amp;EBITDA'!M42/'Quarterly Revenue&amp;EBITDA'!M38 - 1, "")</f>
        <v/>
      </c>
      <c r="N42" s="63" t="str">
        <f>iferror('Quarterly Revenue&amp;EBITDA'!N42/'Quarterly Revenue&amp;EBITDA'!N38 - 1, "")</f>
        <v/>
      </c>
      <c r="O42" s="63">
        <f>iferror('Quarterly Revenue&amp;EBITDA'!O42/'Quarterly Revenue&amp;EBITDA'!O38 - 1, "")</f>
        <v>0.5605830904</v>
      </c>
      <c r="P42" s="63" t="str">
        <f>iferror('Quarterly Revenue&amp;EBITDA'!P42/'Quarterly Revenue&amp;EBITDA'!P38 - 1, "")</f>
        <v/>
      </c>
      <c r="Q42" s="63" t="str">
        <f>iferror('Quarterly Revenue&amp;EBITDA'!Q42/'Quarterly Revenue&amp;EBITDA'!Q38 - 1, "")</f>
        <v/>
      </c>
      <c r="R42" s="63"/>
      <c r="S42" s="63" t="str">
        <f>iferror('Quarterly Revenue&amp;EBITDA'!S42/'Quarterly Revenue&amp;EBITDA'!S38 - 1, "")</f>
        <v/>
      </c>
      <c r="T42" s="63" t="str">
        <f>iferror('Quarterly Revenue&amp;EBITDA'!T42/'Quarterly Revenue&amp;EBITDA'!T38 - 1, "")</f>
        <v/>
      </c>
      <c r="U42" s="63" t="str">
        <f>iferror('Quarterly Revenue&amp;EBITDA'!U42/'Quarterly Revenue&amp;EBITDA'!U38 - 1, "")</f>
        <v/>
      </c>
      <c r="V42" s="63" t="str">
        <f>iferror('Quarterly Revenue&amp;EBITDA'!V42/'Quarterly Revenue&amp;EBITDA'!V38 - 1, "")</f>
        <v/>
      </c>
      <c r="W42" s="62"/>
      <c r="X42" s="63">
        <f>iferror('Quarterly Revenue&amp;EBITDA'!X42/'Quarterly Revenue&amp;EBITDA'!X38 - 1, "")</f>
        <v>0.3021653027</v>
      </c>
      <c r="Y42" s="43"/>
      <c r="Z42" s="43"/>
      <c r="AA42" s="43"/>
      <c r="AB42" s="43"/>
      <c r="AC42" s="43"/>
      <c r="AD42" s="43"/>
    </row>
    <row r="43">
      <c r="A43" s="42" t="s">
        <v>70</v>
      </c>
      <c r="B43" s="62"/>
      <c r="C43" s="63">
        <f>iferror('Quarterly Revenue&amp;EBITDA'!C43/'Quarterly Revenue&amp;EBITDA'!C39 - 1, "")</f>
        <v>0.2549240809</v>
      </c>
      <c r="D43" s="63">
        <f>iferror('Quarterly Revenue&amp;EBITDA'!D43/'Quarterly Revenue&amp;EBITDA'!D39 - 1, "")</f>
        <v>0.1911640491</v>
      </c>
      <c r="E43" s="63">
        <f>iferror('Quarterly Revenue&amp;EBITDA'!E43/'Quarterly Revenue&amp;EBITDA'!E39 - 1, "")</f>
        <v>0.6679761141</v>
      </c>
      <c r="F43" s="63" t="str">
        <f>iferror('Quarterly Revenue&amp;EBITDA'!F43/'Quarterly Revenue&amp;EBITDA'!F39 - 1, "")</f>
        <v/>
      </c>
      <c r="G43" s="63" t="str">
        <f>iferror('Quarterly Revenue&amp;EBITDA'!G43/'Quarterly Revenue&amp;EBITDA'!G39 - 1, "")</f>
        <v/>
      </c>
      <c r="H43" s="63" t="str">
        <f>iferror('Quarterly Revenue&amp;EBITDA'!H43/'Quarterly Revenue&amp;EBITDA'!H39 - 1, "")</f>
        <v/>
      </c>
      <c r="I43" s="63" t="str">
        <f>iferror('Quarterly Revenue&amp;EBITDA'!I43/'Quarterly Revenue&amp;EBITDA'!I39 - 1, "")</f>
        <v/>
      </c>
      <c r="J43" s="63" t="str">
        <f>iferror('Quarterly Revenue&amp;EBITDA'!J43/'Quarterly Revenue&amp;EBITDA'!J39 - 1, "")</f>
        <v/>
      </c>
      <c r="K43" s="63" t="str">
        <f>iferror('Quarterly Revenue&amp;EBITDA'!K43/'Quarterly Revenue&amp;EBITDA'!K39 - 1, "")</f>
        <v/>
      </c>
      <c r="L43" s="63" t="str">
        <f>iferror('Quarterly Revenue&amp;EBITDA'!L43/'Quarterly Revenue&amp;EBITDA'!L39 - 1, "")</f>
        <v/>
      </c>
      <c r="M43" s="63" t="str">
        <f>iferror('Quarterly Revenue&amp;EBITDA'!M43/'Quarterly Revenue&amp;EBITDA'!M39 - 1, "")</f>
        <v/>
      </c>
      <c r="N43" s="63" t="str">
        <f>iferror('Quarterly Revenue&amp;EBITDA'!N43/'Quarterly Revenue&amp;EBITDA'!N39 - 1, "")</f>
        <v/>
      </c>
      <c r="O43" s="63">
        <f>iferror('Quarterly Revenue&amp;EBITDA'!O43/'Quarterly Revenue&amp;EBITDA'!O39 - 1, "")</f>
        <v>0.5605830904</v>
      </c>
      <c r="P43" s="63" t="str">
        <f>iferror('Quarterly Revenue&amp;EBITDA'!P43/'Quarterly Revenue&amp;EBITDA'!P39 - 1, "")</f>
        <v/>
      </c>
      <c r="Q43" s="63" t="str">
        <f>iferror('Quarterly Revenue&amp;EBITDA'!Q43/'Quarterly Revenue&amp;EBITDA'!Q39 - 1, "")</f>
        <v/>
      </c>
      <c r="R43" s="63"/>
      <c r="S43" s="63" t="str">
        <f>iferror('Quarterly Revenue&amp;EBITDA'!S43/'Quarterly Revenue&amp;EBITDA'!S39 - 1, "")</f>
        <v/>
      </c>
      <c r="T43" s="63" t="str">
        <f>iferror('Quarterly Revenue&amp;EBITDA'!T43/'Quarterly Revenue&amp;EBITDA'!T39 - 1, "")</f>
        <v/>
      </c>
      <c r="U43" s="63" t="str">
        <f>iferror('Quarterly Revenue&amp;EBITDA'!U43/'Quarterly Revenue&amp;EBITDA'!U39 - 1, "")</f>
        <v/>
      </c>
      <c r="V43" s="63" t="str">
        <f>iferror('Quarterly Revenue&amp;EBITDA'!V43/'Quarterly Revenue&amp;EBITDA'!V39 - 1, "")</f>
        <v/>
      </c>
      <c r="W43" s="62"/>
      <c r="X43" s="63">
        <f>iferror('Quarterly Revenue&amp;EBITDA'!X43/'Quarterly Revenue&amp;EBITDA'!X39 - 1, "")</f>
        <v>0.3021653027</v>
      </c>
      <c r="Y43" s="43"/>
      <c r="Z43" s="43"/>
      <c r="AA43" s="43"/>
      <c r="AB43" s="43"/>
      <c r="AC43" s="43"/>
      <c r="AD43" s="43"/>
    </row>
    <row r="44">
      <c r="A44" s="42" t="s">
        <v>71</v>
      </c>
      <c r="B44" s="62"/>
      <c r="C44" s="63">
        <f>iferror('Quarterly Revenue&amp;EBITDA'!C44/'Quarterly Revenue&amp;EBITDA'!C40 - 1, "")</f>
        <v>0.2549240809</v>
      </c>
      <c r="D44" s="63">
        <f>iferror('Quarterly Revenue&amp;EBITDA'!D44/'Quarterly Revenue&amp;EBITDA'!D40 - 1, "")</f>
        <v>0.1911640491</v>
      </c>
      <c r="E44" s="63">
        <f>iferror('Quarterly Revenue&amp;EBITDA'!E44/'Quarterly Revenue&amp;EBITDA'!E40 - 1, "")</f>
        <v>0.6679761141</v>
      </c>
      <c r="F44" s="63" t="str">
        <f>iferror('Quarterly Revenue&amp;EBITDA'!F44/'Quarterly Revenue&amp;EBITDA'!F40 - 1, "")</f>
        <v/>
      </c>
      <c r="G44" s="63" t="str">
        <f>iferror('Quarterly Revenue&amp;EBITDA'!G44/'Quarterly Revenue&amp;EBITDA'!G40 - 1, "")</f>
        <v/>
      </c>
      <c r="H44" s="63" t="str">
        <f>iferror('Quarterly Revenue&amp;EBITDA'!H44/'Quarterly Revenue&amp;EBITDA'!H40 - 1, "")</f>
        <v/>
      </c>
      <c r="I44" s="63" t="str">
        <f>iferror('Quarterly Revenue&amp;EBITDA'!I44/'Quarterly Revenue&amp;EBITDA'!I40 - 1, "")</f>
        <v/>
      </c>
      <c r="J44" s="63" t="str">
        <f>iferror('Quarterly Revenue&amp;EBITDA'!J44/'Quarterly Revenue&amp;EBITDA'!J40 - 1, "")</f>
        <v/>
      </c>
      <c r="K44" s="63" t="str">
        <f>iferror('Quarterly Revenue&amp;EBITDA'!K44/'Quarterly Revenue&amp;EBITDA'!K40 - 1, "")</f>
        <v/>
      </c>
      <c r="L44" s="63" t="str">
        <f>iferror('Quarterly Revenue&amp;EBITDA'!L44/'Quarterly Revenue&amp;EBITDA'!L40 - 1, "")</f>
        <v/>
      </c>
      <c r="M44" s="63" t="str">
        <f>iferror('Quarterly Revenue&amp;EBITDA'!M44/'Quarterly Revenue&amp;EBITDA'!M40 - 1, "")</f>
        <v/>
      </c>
      <c r="N44" s="63" t="str">
        <f>iferror('Quarterly Revenue&amp;EBITDA'!N44/'Quarterly Revenue&amp;EBITDA'!N40 - 1, "")</f>
        <v/>
      </c>
      <c r="O44" s="63">
        <f>iferror('Quarterly Revenue&amp;EBITDA'!O44/'Quarterly Revenue&amp;EBITDA'!O40 - 1, "")</f>
        <v>0.5605830904</v>
      </c>
      <c r="P44" s="63" t="str">
        <f>iferror('Quarterly Revenue&amp;EBITDA'!P44/'Quarterly Revenue&amp;EBITDA'!P40 - 1, "")</f>
        <v/>
      </c>
      <c r="Q44" s="63" t="str">
        <f>iferror('Quarterly Revenue&amp;EBITDA'!Q44/'Quarterly Revenue&amp;EBITDA'!Q40 - 1, "")</f>
        <v/>
      </c>
      <c r="R44" s="63"/>
      <c r="S44" s="63" t="str">
        <f>iferror('Quarterly Revenue&amp;EBITDA'!S44/'Quarterly Revenue&amp;EBITDA'!S40 - 1, "")</f>
        <v/>
      </c>
      <c r="T44" s="63" t="str">
        <f>iferror('Quarterly Revenue&amp;EBITDA'!T44/'Quarterly Revenue&amp;EBITDA'!T40 - 1, "")</f>
        <v/>
      </c>
      <c r="U44" s="63" t="str">
        <f>iferror('Quarterly Revenue&amp;EBITDA'!U44/'Quarterly Revenue&amp;EBITDA'!U40 - 1, "")</f>
        <v/>
      </c>
      <c r="V44" s="63" t="str">
        <f>iferror('Quarterly Revenue&amp;EBITDA'!V44/'Quarterly Revenue&amp;EBITDA'!V40 - 1, "")</f>
        <v/>
      </c>
      <c r="W44" s="62"/>
      <c r="X44" s="63">
        <f>iferror('Quarterly Revenue&amp;EBITDA'!X44/'Quarterly Revenue&amp;EBITDA'!X40 - 1, "")</f>
        <v>0.3021653027</v>
      </c>
      <c r="Y44" s="43"/>
      <c r="Z44" s="43"/>
      <c r="AA44" s="43"/>
      <c r="AB44" s="43"/>
      <c r="AC44" s="43"/>
      <c r="AD44" s="43"/>
    </row>
    <row r="45">
      <c r="A45" s="42" t="s">
        <v>72</v>
      </c>
      <c r="B45" s="62"/>
      <c r="C45" s="63">
        <f>iferror('Quarterly Revenue&amp;EBITDA'!C45/'Quarterly Revenue&amp;EBITDA'!C41 - 1, "")</f>
        <v>0.2549240809</v>
      </c>
      <c r="D45" s="63">
        <f>iferror('Quarterly Revenue&amp;EBITDA'!D45/'Quarterly Revenue&amp;EBITDA'!D41 - 1, "")</f>
        <v>0.1911640491</v>
      </c>
      <c r="E45" s="63">
        <f>iferror('Quarterly Revenue&amp;EBITDA'!E45/'Quarterly Revenue&amp;EBITDA'!E41 - 1, "")</f>
        <v>0.6679761141</v>
      </c>
      <c r="F45" s="63" t="str">
        <f>iferror('Quarterly Revenue&amp;EBITDA'!F45/'Quarterly Revenue&amp;EBITDA'!F41 - 1, "")</f>
        <v/>
      </c>
      <c r="G45" s="63" t="str">
        <f>iferror('Quarterly Revenue&amp;EBITDA'!G45/'Quarterly Revenue&amp;EBITDA'!G41 - 1, "")</f>
        <v/>
      </c>
      <c r="H45" s="63" t="str">
        <f>iferror('Quarterly Revenue&amp;EBITDA'!H45/'Quarterly Revenue&amp;EBITDA'!H41 - 1, "")</f>
        <v/>
      </c>
      <c r="I45" s="63" t="str">
        <f>iferror('Quarterly Revenue&amp;EBITDA'!I45/'Quarterly Revenue&amp;EBITDA'!I41 - 1, "")</f>
        <v/>
      </c>
      <c r="J45" s="63" t="str">
        <f>iferror('Quarterly Revenue&amp;EBITDA'!J45/'Quarterly Revenue&amp;EBITDA'!J41 - 1, "")</f>
        <v/>
      </c>
      <c r="K45" s="63" t="str">
        <f>iferror('Quarterly Revenue&amp;EBITDA'!K45/'Quarterly Revenue&amp;EBITDA'!K41 - 1, "")</f>
        <v/>
      </c>
      <c r="L45" s="63" t="str">
        <f>iferror('Quarterly Revenue&amp;EBITDA'!L45/'Quarterly Revenue&amp;EBITDA'!L41 - 1, "")</f>
        <v/>
      </c>
      <c r="M45" s="63" t="str">
        <f>iferror('Quarterly Revenue&amp;EBITDA'!M45/'Quarterly Revenue&amp;EBITDA'!M41 - 1, "")</f>
        <v/>
      </c>
      <c r="N45" s="63" t="str">
        <f>iferror('Quarterly Revenue&amp;EBITDA'!N45/'Quarterly Revenue&amp;EBITDA'!N41 - 1, "")</f>
        <v/>
      </c>
      <c r="O45" s="63">
        <f>iferror('Quarterly Revenue&amp;EBITDA'!O45/'Quarterly Revenue&amp;EBITDA'!O41 - 1, "")</f>
        <v>0.6921237483</v>
      </c>
      <c r="P45" s="63" t="str">
        <f>iferror('Quarterly Revenue&amp;EBITDA'!P45/'Quarterly Revenue&amp;EBITDA'!P41 - 1, "")</f>
        <v/>
      </c>
      <c r="Q45" s="63" t="str">
        <f>iferror('Quarterly Revenue&amp;EBITDA'!Q45/'Quarterly Revenue&amp;EBITDA'!Q41 - 1, "")</f>
        <v/>
      </c>
      <c r="R45" s="63"/>
      <c r="S45" s="63" t="str">
        <f>iferror('Quarterly Revenue&amp;EBITDA'!S45/'Quarterly Revenue&amp;EBITDA'!S41 - 1, "")</f>
        <v/>
      </c>
      <c r="T45" s="63" t="str">
        <f>iferror('Quarterly Revenue&amp;EBITDA'!T45/'Quarterly Revenue&amp;EBITDA'!T41 - 1, "")</f>
        <v/>
      </c>
      <c r="U45" s="63" t="str">
        <f>iferror('Quarterly Revenue&amp;EBITDA'!U45/'Quarterly Revenue&amp;EBITDA'!U41 - 1, "")</f>
        <v/>
      </c>
      <c r="V45" s="63" t="str">
        <f>iferror('Quarterly Revenue&amp;EBITDA'!V45/'Quarterly Revenue&amp;EBITDA'!V41 - 1, "")</f>
        <v/>
      </c>
      <c r="W45" s="62"/>
      <c r="X45" s="63">
        <f>iferror('Quarterly Revenue&amp;EBITDA'!X45/'Quarterly Revenue&amp;EBITDA'!X41 - 1, "")</f>
        <v>0.4701937975</v>
      </c>
      <c r="Y45" s="43"/>
      <c r="Z45" s="43"/>
      <c r="AA45" s="43"/>
      <c r="AB45" s="43"/>
      <c r="AC45" s="43"/>
      <c r="AD45" s="43"/>
    </row>
    <row r="46">
      <c r="A46" s="42" t="s">
        <v>73</v>
      </c>
      <c r="B46" s="62"/>
      <c r="C46" s="63">
        <f>iferror('Quarterly Revenue&amp;EBITDA'!C46/'Quarterly Revenue&amp;EBITDA'!C42 - 1, "")</f>
        <v>0.2549240809</v>
      </c>
      <c r="D46" s="63">
        <f>iferror('Quarterly Revenue&amp;EBITDA'!D46/'Quarterly Revenue&amp;EBITDA'!D42 - 1, "")</f>
        <v>0.1911640491</v>
      </c>
      <c r="E46" s="63">
        <f>iferror('Quarterly Revenue&amp;EBITDA'!E46/'Quarterly Revenue&amp;EBITDA'!E42 - 1, "")</f>
        <v>0.6679761141</v>
      </c>
      <c r="F46" s="63" t="str">
        <f>iferror('Quarterly Revenue&amp;EBITDA'!F46/'Quarterly Revenue&amp;EBITDA'!F42 - 1, "")</f>
        <v/>
      </c>
      <c r="G46" s="63" t="str">
        <f>iferror('Quarterly Revenue&amp;EBITDA'!G46/'Quarterly Revenue&amp;EBITDA'!G42 - 1, "")</f>
        <v/>
      </c>
      <c r="H46" s="63" t="str">
        <f>iferror('Quarterly Revenue&amp;EBITDA'!H46/'Quarterly Revenue&amp;EBITDA'!H42 - 1, "")</f>
        <v/>
      </c>
      <c r="I46" s="63" t="str">
        <f>iferror('Quarterly Revenue&amp;EBITDA'!I46/'Quarterly Revenue&amp;EBITDA'!I42 - 1, "")</f>
        <v/>
      </c>
      <c r="J46" s="63" t="str">
        <f>iferror('Quarterly Revenue&amp;EBITDA'!J46/'Quarterly Revenue&amp;EBITDA'!J42 - 1, "")</f>
        <v/>
      </c>
      <c r="K46" s="63" t="str">
        <f>iferror('Quarterly Revenue&amp;EBITDA'!K46/'Quarterly Revenue&amp;EBITDA'!K42 - 1, "")</f>
        <v/>
      </c>
      <c r="L46" s="63" t="str">
        <f>iferror('Quarterly Revenue&amp;EBITDA'!L46/'Quarterly Revenue&amp;EBITDA'!L42 - 1, "")</f>
        <v/>
      </c>
      <c r="M46" s="63" t="str">
        <f>iferror('Quarterly Revenue&amp;EBITDA'!M46/'Quarterly Revenue&amp;EBITDA'!M42 - 1, "")</f>
        <v/>
      </c>
      <c r="N46" s="63" t="str">
        <f>iferror('Quarterly Revenue&amp;EBITDA'!N46/'Quarterly Revenue&amp;EBITDA'!N42 - 1, "")</f>
        <v/>
      </c>
      <c r="O46" s="63">
        <f>iferror('Quarterly Revenue&amp;EBITDA'!O46/'Quarterly Revenue&amp;EBITDA'!O42 - 1, "")</f>
        <v>0.6921237483</v>
      </c>
      <c r="P46" s="63" t="str">
        <f>iferror('Quarterly Revenue&amp;EBITDA'!P46/'Quarterly Revenue&amp;EBITDA'!P42 - 1, "")</f>
        <v/>
      </c>
      <c r="Q46" s="63" t="str">
        <f>iferror('Quarterly Revenue&amp;EBITDA'!Q46/'Quarterly Revenue&amp;EBITDA'!Q42 - 1, "")</f>
        <v/>
      </c>
      <c r="R46" s="63"/>
      <c r="S46" s="63" t="str">
        <f>iferror('Quarterly Revenue&amp;EBITDA'!S46/'Quarterly Revenue&amp;EBITDA'!S42 - 1, "")</f>
        <v/>
      </c>
      <c r="T46" s="63" t="str">
        <f>iferror('Quarterly Revenue&amp;EBITDA'!T46/'Quarterly Revenue&amp;EBITDA'!T42 - 1, "")</f>
        <v/>
      </c>
      <c r="U46" s="63" t="str">
        <f>iferror('Quarterly Revenue&amp;EBITDA'!U46/'Quarterly Revenue&amp;EBITDA'!U42 - 1, "")</f>
        <v/>
      </c>
      <c r="V46" s="63" t="str">
        <f>iferror('Quarterly Revenue&amp;EBITDA'!V46/'Quarterly Revenue&amp;EBITDA'!V42 - 1, "")</f>
        <v/>
      </c>
      <c r="W46" s="62"/>
      <c r="X46" s="63">
        <f>iferror('Quarterly Revenue&amp;EBITDA'!X46/'Quarterly Revenue&amp;EBITDA'!X42 - 1, "")</f>
        <v>0.4701937975</v>
      </c>
      <c r="Y46" s="43"/>
      <c r="Z46" s="43"/>
      <c r="AA46" s="43"/>
      <c r="AB46" s="43"/>
      <c r="AC46" s="43"/>
      <c r="AD46" s="43"/>
    </row>
    <row r="47">
      <c r="A47" s="42" t="s">
        <v>74</v>
      </c>
      <c r="B47" s="62"/>
      <c r="C47" s="63">
        <f>iferror('Quarterly Revenue&amp;EBITDA'!C47/'Quarterly Revenue&amp;EBITDA'!C43 - 1, "")</f>
        <v>0.3373023728</v>
      </c>
      <c r="D47" s="63">
        <f>iferror('Quarterly Revenue&amp;EBITDA'!D47/'Quarterly Revenue&amp;EBITDA'!D43 - 1, "")</f>
        <v>0.1019313917</v>
      </c>
      <c r="E47" s="63">
        <f>iferror('Quarterly Revenue&amp;EBITDA'!E47/'Quarterly Revenue&amp;EBITDA'!E43 - 1, "")</f>
        <v>0.3307099195</v>
      </c>
      <c r="F47" s="63" t="str">
        <f>iferror('Quarterly Revenue&amp;EBITDA'!F47/'Quarterly Revenue&amp;EBITDA'!F43 - 1, "")</f>
        <v/>
      </c>
      <c r="G47" s="63" t="str">
        <f>iferror('Quarterly Revenue&amp;EBITDA'!G47/'Quarterly Revenue&amp;EBITDA'!G43 - 1, "")</f>
        <v/>
      </c>
      <c r="H47" s="63" t="str">
        <f>iferror('Quarterly Revenue&amp;EBITDA'!H47/'Quarterly Revenue&amp;EBITDA'!H43 - 1, "")</f>
        <v/>
      </c>
      <c r="I47" s="63" t="str">
        <f>iferror('Quarterly Revenue&amp;EBITDA'!I47/'Quarterly Revenue&amp;EBITDA'!I43 - 1, "")</f>
        <v/>
      </c>
      <c r="J47" s="63" t="str">
        <f>iferror('Quarterly Revenue&amp;EBITDA'!J47/'Quarterly Revenue&amp;EBITDA'!J43 - 1, "")</f>
        <v/>
      </c>
      <c r="K47" s="63" t="str">
        <f>iferror('Quarterly Revenue&amp;EBITDA'!K47/'Quarterly Revenue&amp;EBITDA'!K43 - 1, "")</f>
        <v/>
      </c>
      <c r="L47" s="63" t="str">
        <f>iferror('Quarterly Revenue&amp;EBITDA'!L47/'Quarterly Revenue&amp;EBITDA'!L43 - 1, "")</f>
        <v/>
      </c>
      <c r="M47" s="63" t="str">
        <f>iferror('Quarterly Revenue&amp;EBITDA'!M47/'Quarterly Revenue&amp;EBITDA'!M43 - 1, "")</f>
        <v/>
      </c>
      <c r="N47" s="63" t="str">
        <f>iferror('Quarterly Revenue&amp;EBITDA'!N47/'Quarterly Revenue&amp;EBITDA'!N43 - 1, "")</f>
        <v/>
      </c>
      <c r="O47" s="63">
        <f>iferror('Quarterly Revenue&amp;EBITDA'!O47/'Quarterly Revenue&amp;EBITDA'!O43 - 1, "")</f>
        <v>0.6921237483</v>
      </c>
      <c r="P47" s="63" t="str">
        <f>iferror('Quarterly Revenue&amp;EBITDA'!P47/'Quarterly Revenue&amp;EBITDA'!P43 - 1, "")</f>
        <v/>
      </c>
      <c r="Q47" s="63" t="str">
        <f>iferror('Quarterly Revenue&amp;EBITDA'!Q47/'Quarterly Revenue&amp;EBITDA'!Q43 - 1, "")</f>
        <v/>
      </c>
      <c r="R47" s="63"/>
      <c r="S47" s="63" t="str">
        <f>iferror('Quarterly Revenue&amp;EBITDA'!S47/'Quarterly Revenue&amp;EBITDA'!S43 - 1, "")</f>
        <v/>
      </c>
      <c r="T47" s="63" t="str">
        <f>iferror('Quarterly Revenue&amp;EBITDA'!T47/'Quarterly Revenue&amp;EBITDA'!T43 - 1, "")</f>
        <v/>
      </c>
      <c r="U47" s="63" t="str">
        <f>iferror('Quarterly Revenue&amp;EBITDA'!U47/'Quarterly Revenue&amp;EBITDA'!U43 - 1, "")</f>
        <v/>
      </c>
      <c r="V47" s="63" t="str">
        <f>iferror('Quarterly Revenue&amp;EBITDA'!V47/'Quarterly Revenue&amp;EBITDA'!V43 - 1, "")</f>
        <v/>
      </c>
      <c r="W47" s="62"/>
      <c r="X47" s="63">
        <f>iferror('Quarterly Revenue&amp;EBITDA'!X47/'Quarterly Revenue&amp;EBITDA'!X43 - 1, "")</f>
        <v>0.4701937975</v>
      </c>
      <c r="Y47" s="43"/>
      <c r="Z47" s="43"/>
      <c r="AA47" s="43"/>
      <c r="AB47" s="43"/>
      <c r="AC47" s="43"/>
      <c r="AD47" s="43"/>
    </row>
    <row r="48">
      <c r="A48" s="42" t="s">
        <v>75</v>
      </c>
      <c r="B48" s="62"/>
      <c r="C48" s="63">
        <f>iferror('Quarterly Revenue&amp;EBITDA'!C48/'Quarterly Revenue&amp;EBITDA'!C44 - 1, "")</f>
        <v>0.3373023728</v>
      </c>
      <c r="D48" s="63">
        <f>iferror('Quarterly Revenue&amp;EBITDA'!D48/'Quarterly Revenue&amp;EBITDA'!D44 - 1, "")</f>
        <v>0.1019313917</v>
      </c>
      <c r="E48" s="63">
        <f>iferror('Quarterly Revenue&amp;EBITDA'!E48/'Quarterly Revenue&amp;EBITDA'!E44 - 1, "")</f>
        <v>0.3307099195</v>
      </c>
      <c r="F48" s="63" t="str">
        <f>iferror('Quarterly Revenue&amp;EBITDA'!F48/'Quarterly Revenue&amp;EBITDA'!F44 - 1, "")</f>
        <v/>
      </c>
      <c r="G48" s="63" t="str">
        <f>iferror('Quarterly Revenue&amp;EBITDA'!G48/'Quarterly Revenue&amp;EBITDA'!G44 - 1, "")</f>
        <v/>
      </c>
      <c r="H48" s="63" t="str">
        <f>iferror('Quarterly Revenue&amp;EBITDA'!H48/'Quarterly Revenue&amp;EBITDA'!H44 - 1, "")</f>
        <v/>
      </c>
      <c r="I48" s="63" t="str">
        <f>iferror('Quarterly Revenue&amp;EBITDA'!I48/'Quarterly Revenue&amp;EBITDA'!I44 - 1, "")</f>
        <v/>
      </c>
      <c r="J48" s="63" t="str">
        <f>iferror('Quarterly Revenue&amp;EBITDA'!J48/'Quarterly Revenue&amp;EBITDA'!J44 - 1, "")</f>
        <v/>
      </c>
      <c r="K48" s="63" t="str">
        <f>iferror('Quarterly Revenue&amp;EBITDA'!K48/'Quarterly Revenue&amp;EBITDA'!K44 - 1, "")</f>
        <v/>
      </c>
      <c r="L48" s="63" t="str">
        <f>iferror('Quarterly Revenue&amp;EBITDA'!L48/'Quarterly Revenue&amp;EBITDA'!L44 - 1, "")</f>
        <v/>
      </c>
      <c r="M48" s="63" t="str">
        <f>iferror('Quarterly Revenue&amp;EBITDA'!M48/'Quarterly Revenue&amp;EBITDA'!M44 - 1, "")</f>
        <v/>
      </c>
      <c r="N48" s="63" t="str">
        <f>iferror('Quarterly Revenue&amp;EBITDA'!N48/'Quarterly Revenue&amp;EBITDA'!N44 - 1, "")</f>
        <v/>
      </c>
      <c r="O48" s="63">
        <f>iferror('Quarterly Revenue&amp;EBITDA'!O48/'Quarterly Revenue&amp;EBITDA'!O44 - 1, "")</f>
        <v>0.6921237483</v>
      </c>
      <c r="P48" s="63" t="str">
        <f>iferror('Quarterly Revenue&amp;EBITDA'!P48/'Quarterly Revenue&amp;EBITDA'!P44 - 1, "")</f>
        <v/>
      </c>
      <c r="Q48" s="63" t="str">
        <f>iferror('Quarterly Revenue&amp;EBITDA'!Q48/'Quarterly Revenue&amp;EBITDA'!Q44 - 1, "")</f>
        <v/>
      </c>
      <c r="R48" s="63"/>
      <c r="S48" s="63" t="str">
        <f>iferror('Quarterly Revenue&amp;EBITDA'!S48/'Quarterly Revenue&amp;EBITDA'!S44 - 1, "")</f>
        <v/>
      </c>
      <c r="T48" s="63" t="str">
        <f>iferror('Quarterly Revenue&amp;EBITDA'!T48/'Quarterly Revenue&amp;EBITDA'!T44 - 1, "")</f>
        <v/>
      </c>
      <c r="U48" s="63" t="str">
        <f>iferror('Quarterly Revenue&amp;EBITDA'!U48/'Quarterly Revenue&amp;EBITDA'!U44 - 1, "")</f>
        <v/>
      </c>
      <c r="V48" s="63">
        <f>iferror('Quarterly Revenue&amp;EBITDA'!V48/'Quarterly Revenue&amp;EBITDA'!V44 - 1, "")</f>
        <v>0.01280558789</v>
      </c>
      <c r="W48" s="62"/>
      <c r="X48" s="63">
        <f>iferror('Quarterly Revenue&amp;EBITDA'!X48/'Quarterly Revenue&amp;EBITDA'!X44 - 1, "")</f>
        <v>0.4701937975</v>
      </c>
      <c r="Y48" s="43"/>
      <c r="Z48" s="43"/>
      <c r="AA48" s="43"/>
      <c r="AB48" s="43"/>
      <c r="AC48" s="43"/>
      <c r="AD48" s="43"/>
    </row>
    <row r="49">
      <c r="A49" s="42" t="s">
        <v>76</v>
      </c>
      <c r="B49" s="62"/>
      <c r="C49" s="63">
        <f>iferror('Quarterly Revenue&amp;EBITDA'!C49/'Quarterly Revenue&amp;EBITDA'!C45 - 1, "")</f>
        <v>0.3373023728</v>
      </c>
      <c r="D49" s="63">
        <f>iferror('Quarterly Revenue&amp;EBITDA'!D49/'Quarterly Revenue&amp;EBITDA'!D45 - 1, "")</f>
        <v>0.1019313917</v>
      </c>
      <c r="E49" s="63">
        <f>iferror('Quarterly Revenue&amp;EBITDA'!E49/'Quarterly Revenue&amp;EBITDA'!E45 - 1, "")</f>
        <v>0.3307099195</v>
      </c>
      <c r="F49" s="63" t="str">
        <f>iferror('Quarterly Revenue&amp;EBITDA'!F49/'Quarterly Revenue&amp;EBITDA'!F45 - 1, "")</f>
        <v/>
      </c>
      <c r="G49" s="63" t="str">
        <f>iferror('Quarterly Revenue&amp;EBITDA'!G49/'Quarterly Revenue&amp;EBITDA'!G45 - 1, "")</f>
        <v/>
      </c>
      <c r="H49" s="63" t="str">
        <f>iferror('Quarterly Revenue&amp;EBITDA'!H49/'Quarterly Revenue&amp;EBITDA'!H45 - 1, "")</f>
        <v/>
      </c>
      <c r="I49" s="63" t="str">
        <f>iferror('Quarterly Revenue&amp;EBITDA'!I49/'Quarterly Revenue&amp;EBITDA'!I45 - 1, "")</f>
        <v/>
      </c>
      <c r="J49" s="63" t="str">
        <f>iferror('Quarterly Revenue&amp;EBITDA'!J49/'Quarterly Revenue&amp;EBITDA'!J45 - 1, "")</f>
        <v/>
      </c>
      <c r="K49" s="63" t="str">
        <f>iferror('Quarterly Revenue&amp;EBITDA'!K49/'Quarterly Revenue&amp;EBITDA'!K45 - 1, "")</f>
        <v/>
      </c>
      <c r="L49" s="63" t="str">
        <f>iferror('Quarterly Revenue&amp;EBITDA'!L49/'Quarterly Revenue&amp;EBITDA'!L45 - 1, "")</f>
        <v/>
      </c>
      <c r="M49" s="63" t="str">
        <f>iferror('Quarterly Revenue&amp;EBITDA'!M49/'Quarterly Revenue&amp;EBITDA'!M45 - 1, "")</f>
        <v/>
      </c>
      <c r="N49" s="63" t="str">
        <f>iferror('Quarterly Revenue&amp;EBITDA'!N49/'Quarterly Revenue&amp;EBITDA'!N45 - 1, "")</f>
        <v/>
      </c>
      <c r="O49" s="63">
        <f>iferror('Quarterly Revenue&amp;EBITDA'!O49/'Quarterly Revenue&amp;EBITDA'!O45 - 1, "")</f>
        <v>0.01558911853</v>
      </c>
      <c r="P49" s="63" t="str">
        <f>iferror('Quarterly Revenue&amp;EBITDA'!P49/'Quarterly Revenue&amp;EBITDA'!P45 - 1, "")</f>
        <v/>
      </c>
      <c r="Q49" s="63" t="str">
        <f>iferror('Quarterly Revenue&amp;EBITDA'!Q49/'Quarterly Revenue&amp;EBITDA'!Q45 - 1, "")</f>
        <v/>
      </c>
      <c r="R49" s="63"/>
      <c r="S49" s="63" t="str">
        <f>iferror('Quarterly Revenue&amp;EBITDA'!S49/'Quarterly Revenue&amp;EBITDA'!S45 - 1, "")</f>
        <v/>
      </c>
      <c r="T49" s="63" t="str">
        <f>iferror('Quarterly Revenue&amp;EBITDA'!T49/'Quarterly Revenue&amp;EBITDA'!T45 - 1, "")</f>
        <v/>
      </c>
      <c r="U49" s="63" t="str">
        <f>iferror('Quarterly Revenue&amp;EBITDA'!U49/'Quarterly Revenue&amp;EBITDA'!U45 - 1, "")</f>
        <v/>
      </c>
      <c r="V49" s="63">
        <f>iferror('Quarterly Revenue&amp;EBITDA'!V49/'Quarterly Revenue&amp;EBITDA'!V45 - 1, "")</f>
        <v>0.01280558789</v>
      </c>
      <c r="W49" s="62"/>
      <c r="X49" s="63">
        <f>iferror('Quarterly Revenue&amp;EBITDA'!X49/'Quarterly Revenue&amp;EBITDA'!X45 - 1, "")</f>
        <v>-0.02119996915</v>
      </c>
      <c r="Y49" s="43"/>
      <c r="Z49" s="43"/>
      <c r="AA49" s="43"/>
      <c r="AB49" s="43"/>
      <c r="AC49" s="43"/>
      <c r="AD49" s="43"/>
    </row>
    <row r="50">
      <c r="A50" s="42" t="s">
        <v>77</v>
      </c>
      <c r="B50" s="62"/>
      <c r="C50" s="63">
        <f>iferror('Quarterly Revenue&amp;EBITDA'!C50/'Quarterly Revenue&amp;EBITDA'!C46 - 1, "")</f>
        <v>0.3373023728</v>
      </c>
      <c r="D50" s="63">
        <f>iferror('Quarterly Revenue&amp;EBITDA'!D50/'Quarterly Revenue&amp;EBITDA'!D46 - 1, "")</f>
        <v>0.1019313917</v>
      </c>
      <c r="E50" s="63">
        <f>iferror('Quarterly Revenue&amp;EBITDA'!E50/'Quarterly Revenue&amp;EBITDA'!E46 - 1, "")</f>
        <v>0.3307099195</v>
      </c>
      <c r="F50" s="63" t="str">
        <f>iferror('Quarterly Revenue&amp;EBITDA'!F50/'Quarterly Revenue&amp;EBITDA'!F46 - 1, "")</f>
        <v/>
      </c>
      <c r="G50" s="63" t="str">
        <f>iferror('Quarterly Revenue&amp;EBITDA'!G50/'Quarterly Revenue&amp;EBITDA'!G46 - 1, "")</f>
        <v/>
      </c>
      <c r="H50" s="63" t="str">
        <f>iferror('Quarterly Revenue&amp;EBITDA'!H50/'Quarterly Revenue&amp;EBITDA'!H46 - 1, "")</f>
        <v/>
      </c>
      <c r="I50" s="63" t="str">
        <f>iferror('Quarterly Revenue&amp;EBITDA'!I50/'Quarterly Revenue&amp;EBITDA'!I46 - 1, "")</f>
        <v/>
      </c>
      <c r="J50" s="63" t="str">
        <f>iferror('Quarterly Revenue&amp;EBITDA'!J50/'Quarterly Revenue&amp;EBITDA'!J46 - 1, "")</f>
        <v/>
      </c>
      <c r="K50" s="63" t="str">
        <f>iferror('Quarterly Revenue&amp;EBITDA'!K50/'Quarterly Revenue&amp;EBITDA'!K46 - 1, "")</f>
        <v/>
      </c>
      <c r="L50" s="63" t="str">
        <f>iferror('Quarterly Revenue&amp;EBITDA'!L50/'Quarterly Revenue&amp;EBITDA'!L46 - 1, "")</f>
        <v/>
      </c>
      <c r="M50" s="63" t="str">
        <f>iferror('Quarterly Revenue&amp;EBITDA'!M50/'Quarterly Revenue&amp;EBITDA'!M46 - 1, "")</f>
        <v/>
      </c>
      <c r="N50" s="63" t="str">
        <f>iferror('Quarterly Revenue&amp;EBITDA'!N50/'Quarterly Revenue&amp;EBITDA'!N46 - 1, "")</f>
        <v/>
      </c>
      <c r="O50" s="63">
        <f>iferror('Quarterly Revenue&amp;EBITDA'!O50/'Quarterly Revenue&amp;EBITDA'!O46 - 1, "")</f>
        <v>0.01558911853</v>
      </c>
      <c r="P50" s="63" t="str">
        <f>iferror('Quarterly Revenue&amp;EBITDA'!P50/'Quarterly Revenue&amp;EBITDA'!P46 - 1, "")</f>
        <v/>
      </c>
      <c r="Q50" s="63" t="str">
        <f>iferror('Quarterly Revenue&amp;EBITDA'!Q50/'Quarterly Revenue&amp;EBITDA'!Q46 - 1, "")</f>
        <v/>
      </c>
      <c r="R50" s="63"/>
      <c r="S50" s="63" t="str">
        <f>iferror('Quarterly Revenue&amp;EBITDA'!S50/'Quarterly Revenue&amp;EBITDA'!S46 - 1, "")</f>
        <v/>
      </c>
      <c r="T50" s="63" t="str">
        <f>iferror('Quarterly Revenue&amp;EBITDA'!T50/'Quarterly Revenue&amp;EBITDA'!T46 - 1, "")</f>
        <v/>
      </c>
      <c r="U50" s="63" t="str">
        <f>iferror('Quarterly Revenue&amp;EBITDA'!U50/'Quarterly Revenue&amp;EBITDA'!U46 - 1, "")</f>
        <v/>
      </c>
      <c r="V50" s="63">
        <f>iferror('Quarterly Revenue&amp;EBITDA'!V50/'Quarterly Revenue&amp;EBITDA'!V46 - 1, "")</f>
        <v>0.01280558789</v>
      </c>
      <c r="W50" s="62"/>
      <c r="X50" s="63">
        <f>iferror('Quarterly Revenue&amp;EBITDA'!X50/'Quarterly Revenue&amp;EBITDA'!X46 - 1, "")</f>
        <v>-0.02119996915</v>
      </c>
      <c r="Y50" s="43"/>
      <c r="Z50" s="43"/>
      <c r="AA50" s="43"/>
      <c r="AB50" s="43"/>
      <c r="AC50" s="43"/>
      <c r="AD50" s="43"/>
    </row>
    <row r="51">
      <c r="A51" s="42" t="s">
        <v>78</v>
      </c>
      <c r="B51" s="62"/>
      <c r="C51" s="63">
        <f>iferror('Quarterly Revenue&amp;EBITDA'!C51/'Quarterly Revenue&amp;EBITDA'!C47 - 1, "")</f>
        <v>0.2405584447</v>
      </c>
      <c r="D51" s="63">
        <f>iferror('Quarterly Revenue&amp;EBITDA'!D51/'Quarterly Revenue&amp;EBITDA'!D47 - 1, "")</f>
        <v>-0.0660405657</v>
      </c>
      <c r="E51" s="63">
        <f>iferror('Quarterly Revenue&amp;EBITDA'!E51/'Quarterly Revenue&amp;EBITDA'!E47 - 1, "")</f>
        <v>0.3342834782</v>
      </c>
      <c r="F51" s="63" t="str">
        <f>iferror('Quarterly Revenue&amp;EBITDA'!F51/'Quarterly Revenue&amp;EBITDA'!F47 - 1, "")</f>
        <v/>
      </c>
      <c r="G51" s="63" t="str">
        <f>iferror('Quarterly Revenue&amp;EBITDA'!G51/'Quarterly Revenue&amp;EBITDA'!G47 - 1, "")</f>
        <v/>
      </c>
      <c r="H51" s="63" t="str">
        <f>iferror('Quarterly Revenue&amp;EBITDA'!H51/'Quarterly Revenue&amp;EBITDA'!H47 - 1, "")</f>
        <v/>
      </c>
      <c r="I51" s="63" t="str">
        <f>iferror('Quarterly Revenue&amp;EBITDA'!I51/'Quarterly Revenue&amp;EBITDA'!I47 - 1, "")</f>
        <v/>
      </c>
      <c r="J51" s="63" t="str">
        <f>iferror('Quarterly Revenue&amp;EBITDA'!J51/'Quarterly Revenue&amp;EBITDA'!J47 - 1, "")</f>
        <v/>
      </c>
      <c r="K51" s="63" t="str">
        <f>iferror('Quarterly Revenue&amp;EBITDA'!K51/'Quarterly Revenue&amp;EBITDA'!K47 - 1, "")</f>
        <v/>
      </c>
      <c r="L51" s="63" t="str">
        <f>iferror('Quarterly Revenue&amp;EBITDA'!L51/'Quarterly Revenue&amp;EBITDA'!L47 - 1, "")</f>
        <v/>
      </c>
      <c r="M51" s="63" t="str">
        <f>iferror('Quarterly Revenue&amp;EBITDA'!M51/'Quarterly Revenue&amp;EBITDA'!M47 - 1, "")</f>
        <v/>
      </c>
      <c r="N51" s="63" t="str">
        <f>iferror('Quarterly Revenue&amp;EBITDA'!N51/'Quarterly Revenue&amp;EBITDA'!N47 - 1, "")</f>
        <v/>
      </c>
      <c r="O51" s="63">
        <f>iferror('Quarterly Revenue&amp;EBITDA'!O51/'Quarterly Revenue&amp;EBITDA'!O47 - 1, "")</f>
        <v>0.01558911853</v>
      </c>
      <c r="P51" s="63" t="str">
        <f>iferror('Quarterly Revenue&amp;EBITDA'!P51/'Quarterly Revenue&amp;EBITDA'!P47 - 1, "")</f>
        <v/>
      </c>
      <c r="Q51" s="63" t="str">
        <f>iferror('Quarterly Revenue&amp;EBITDA'!Q51/'Quarterly Revenue&amp;EBITDA'!Q47 - 1, "")</f>
        <v/>
      </c>
      <c r="R51" s="63"/>
      <c r="S51" s="63" t="str">
        <f>iferror('Quarterly Revenue&amp;EBITDA'!S51/'Quarterly Revenue&amp;EBITDA'!S47 - 1, "")</f>
        <v/>
      </c>
      <c r="T51" s="63" t="str">
        <f>iferror('Quarterly Revenue&amp;EBITDA'!T51/'Quarterly Revenue&amp;EBITDA'!T47 - 1, "")</f>
        <v/>
      </c>
      <c r="U51" s="63" t="str">
        <f>iferror('Quarterly Revenue&amp;EBITDA'!U51/'Quarterly Revenue&amp;EBITDA'!U47 - 1, "")</f>
        <v/>
      </c>
      <c r="V51" s="63">
        <f>iferror('Quarterly Revenue&amp;EBITDA'!V51/'Quarterly Revenue&amp;EBITDA'!V47 - 1, "")</f>
        <v>-0.1517241379</v>
      </c>
      <c r="W51" s="62"/>
      <c r="X51" s="63">
        <f>iferror('Quarterly Revenue&amp;EBITDA'!X51/'Quarterly Revenue&amp;EBITDA'!X47 - 1, "")</f>
        <v>-0.02119996915</v>
      </c>
      <c r="Y51" s="43"/>
      <c r="Z51" s="43"/>
      <c r="AA51" s="43"/>
      <c r="AB51" s="43"/>
      <c r="AC51" s="43"/>
      <c r="AD51" s="43"/>
    </row>
    <row r="52">
      <c r="A52" s="42" t="s">
        <v>79</v>
      </c>
      <c r="B52" s="62"/>
      <c r="C52" s="63">
        <f>iferror('Quarterly Revenue&amp;EBITDA'!C52/'Quarterly Revenue&amp;EBITDA'!C48 - 1, "")</f>
        <v>0.2405584447</v>
      </c>
      <c r="D52" s="63">
        <f>iferror('Quarterly Revenue&amp;EBITDA'!D52/'Quarterly Revenue&amp;EBITDA'!D48 - 1, "")</f>
        <v>-0.0660405657</v>
      </c>
      <c r="E52" s="63">
        <f>iferror('Quarterly Revenue&amp;EBITDA'!E52/'Quarterly Revenue&amp;EBITDA'!E48 - 1, "")</f>
        <v>0.3342834782</v>
      </c>
      <c r="F52" s="63" t="str">
        <f>iferror('Quarterly Revenue&amp;EBITDA'!F52/'Quarterly Revenue&amp;EBITDA'!F48 - 1, "")</f>
        <v/>
      </c>
      <c r="G52" s="63" t="str">
        <f>iferror('Quarterly Revenue&amp;EBITDA'!G52/'Quarterly Revenue&amp;EBITDA'!G48 - 1, "")</f>
        <v/>
      </c>
      <c r="H52" s="63" t="str">
        <f>iferror('Quarterly Revenue&amp;EBITDA'!H52/'Quarterly Revenue&amp;EBITDA'!H48 - 1, "")</f>
        <v/>
      </c>
      <c r="I52" s="63" t="str">
        <f>iferror('Quarterly Revenue&amp;EBITDA'!I52/'Quarterly Revenue&amp;EBITDA'!I48 - 1, "")</f>
        <v/>
      </c>
      <c r="J52" s="63">
        <f>iferror('Quarterly Revenue&amp;EBITDA'!J52/'Quarterly Revenue&amp;EBITDA'!J48 - 1, "")</f>
        <v>0.2189286965</v>
      </c>
      <c r="K52" s="63" t="str">
        <f>iferror('Quarterly Revenue&amp;EBITDA'!K52/'Quarterly Revenue&amp;EBITDA'!K48 - 1, "")</f>
        <v/>
      </c>
      <c r="L52" s="63" t="str">
        <f>iferror('Quarterly Revenue&amp;EBITDA'!L52/'Quarterly Revenue&amp;EBITDA'!L48 - 1, "")</f>
        <v/>
      </c>
      <c r="M52" s="63" t="str">
        <f>iferror('Quarterly Revenue&amp;EBITDA'!M52/'Quarterly Revenue&amp;EBITDA'!M48 - 1, "")</f>
        <v/>
      </c>
      <c r="N52" s="63" t="str">
        <f>iferror('Quarterly Revenue&amp;EBITDA'!N52/'Quarterly Revenue&amp;EBITDA'!N48 - 1, "")</f>
        <v/>
      </c>
      <c r="O52" s="63">
        <f>iferror('Quarterly Revenue&amp;EBITDA'!O52/'Quarterly Revenue&amp;EBITDA'!O48 - 1, "")</f>
        <v>0.01558911853</v>
      </c>
      <c r="P52" s="63" t="str">
        <f>iferror('Quarterly Revenue&amp;EBITDA'!P52/'Quarterly Revenue&amp;EBITDA'!P48 - 1, "")</f>
        <v/>
      </c>
      <c r="Q52" s="63" t="str">
        <f>iferror('Quarterly Revenue&amp;EBITDA'!Q52/'Quarterly Revenue&amp;EBITDA'!Q48 - 1, "")</f>
        <v/>
      </c>
      <c r="R52" s="63"/>
      <c r="S52" s="63" t="str">
        <f>iferror('Quarterly Revenue&amp;EBITDA'!S52/'Quarterly Revenue&amp;EBITDA'!S48 - 1, "")</f>
        <v/>
      </c>
      <c r="T52" s="63" t="str">
        <f>iferror('Quarterly Revenue&amp;EBITDA'!T52/'Quarterly Revenue&amp;EBITDA'!T48 - 1, "")</f>
        <v/>
      </c>
      <c r="U52" s="63" t="str">
        <f>iferror('Quarterly Revenue&amp;EBITDA'!U52/'Quarterly Revenue&amp;EBITDA'!U48 - 1, "")</f>
        <v/>
      </c>
      <c r="V52" s="63">
        <f>iferror('Quarterly Revenue&amp;EBITDA'!V52/'Quarterly Revenue&amp;EBITDA'!V48 - 1, "")</f>
        <v>-0.1517241379</v>
      </c>
      <c r="W52" s="62"/>
      <c r="X52" s="63">
        <f>iferror('Quarterly Revenue&amp;EBITDA'!X52/'Quarterly Revenue&amp;EBITDA'!X48 - 1, "")</f>
        <v>-0.02119996915</v>
      </c>
      <c r="Y52" s="43"/>
      <c r="Z52" s="43"/>
      <c r="AA52" s="43"/>
      <c r="AB52" s="43"/>
      <c r="AC52" s="43"/>
      <c r="AD52" s="43"/>
    </row>
    <row r="53">
      <c r="A53" s="42" t="s">
        <v>80</v>
      </c>
      <c r="B53" s="62"/>
      <c r="C53" s="63">
        <f>iferror('Quarterly Revenue&amp;EBITDA'!C53/'Quarterly Revenue&amp;EBITDA'!C49 - 1, "")</f>
        <v>0.2405584447</v>
      </c>
      <c r="D53" s="63">
        <f>iferror('Quarterly Revenue&amp;EBITDA'!D53/'Quarterly Revenue&amp;EBITDA'!D49 - 1, "")</f>
        <v>-0.0660405657</v>
      </c>
      <c r="E53" s="63">
        <f>iferror('Quarterly Revenue&amp;EBITDA'!E53/'Quarterly Revenue&amp;EBITDA'!E49 - 1, "")</f>
        <v>0.3342834782</v>
      </c>
      <c r="F53" s="63" t="str">
        <f>iferror('Quarterly Revenue&amp;EBITDA'!F53/'Quarterly Revenue&amp;EBITDA'!F49 - 1, "")</f>
        <v/>
      </c>
      <c r="G53" s="63" t="str">
        <f>iferror('Quarterly Revenue&amp;EBITDA'!G53/'Quarterly Revenue&amp;EBITDA'!G49 - 1, "")</f>
        <v/>
      </c>
      <c r="H53" s="63" t="str">
        <f>iferror('Quarterly Revenue&amp;EBITDA'!H53/'Quarterly Revenue&amp;EBITDA'!H49 - 1, "")</f>
        <v/>
      </c>
      <c r="I53" s="63" t="str">
        <f>iferror('Quarterly Revenue&amp;EBITDA'!I53/'Quarterly Revenue&amp;EBITDA'!I49 - 1, "")</f>
        <v/>
      </c>
      <c r="J53" s="63">
        <f>iferror('Quarterly Revenue&amp;EBITDA'!J53/'Quarterly Revenue&amp;EBITDA'!J49 - 1, "")</f>
        <v>0.2189286965</v>
      </c>
      <c r="K53" s="63" t="str">
        <f>iferror('Quarterly Revenue&amp;EBITDA'!K53/'Quarterly Revenue&amp;EBITDA'!K49 - 1, "")</f>
        <v/>
      </c>
      <c r="L53" s="63" t="str">
        <f>iferror('Quarterly Revenue&amp;EBITDA'!L53/'Quarterly Revenue&amp;EBITDA'!L49 - 1, "")</f>
        <v/>
      </c>
      <c r="M53" s="63" t="str">
        <f>iferror('Quarterly Revenue&amp;EBITDA'!M53/'Quarterly Revenue&amp;EBITDA'!M49 - 1, "")</f>
        <v/>
      </c>
      <c r="N53" s="63" t="str">
        <f>iferror('Quarterly Revenue&amp;EBITDA'!N53/'Quarterly Revenue&amp;EBITDA'!N49 - 1, "")</f>
        <v/>
      </c>
      <c r="O53" s="63">
        <f>iferror('Quarterly Revenue&amp;EBITDA'!O53/'Quarterly Revenue&amp;EBITDA'!O49 - 1, "")</f>
        <v>0.3763969213</v>
      </c>
      <c r="P53" s="63" t="str">
        <f>iferror('Quarterly Revenue&amp;EBITDA'!P53/'Quarterly Revenue&amp;EBITDA'!P49 - 1, "")</f>
        <v/>
      </c>
      <c r="Q53" s="63" t="str">
        <f>iferror('Quarterly Revenue&amp;EBITDA'!Q53/'Quarterly Revenue&amp;EBITDA'!Q49 - 1, "")</f>
        <v/>
      </c>
      <c r="R53" s="63"/>
      <c r="S53" s="63" t="str">
        <f>iferror('Quarterly Revenue&amp;EBITDA'!S53/'Quarterly Revenue&amp;EBITDA'!S49 - 1, "")</f>
        <v/>
      </c>
      <c r="T53" s="63" t="str">
        <f>iferror('Quarterly Revenue&amp;EBITDA'!T53/'Quarterly Revenue&amp;EBITDA'!T49 - 1, "")</f>
        <v/>
      </c>
      <c r="U53" s="63" t="str">
        <f>iferror('Quarterly Revenue&amp;EBITDA'!U53/'Quarterly Revenue&amp;EBITDA'!U49 - 1, "")</f>
        <v/>
      </c>
      <c r="V53" s="63">
        <f>iferror('Quarterly Revenue&amp;EBITDA'!V53/'Quarterly Revenue&amp;EBITDA'!V49 - 1, "")</f>
        <v>-0.1517241379</v>
      </c>
      <c r="W53" s="62"/>
      <c r="X53" s="63">
        <f>iferror('Quarterly Revenue&amp;EBITDA'!X53/'Quarterly Revenue&amp;EBITDA'!X49 - 1, "")</f>
        <v>0.1070915666</v>
      </c>
      <c r="Y53" s="43"/>
      <c r="Z53" s="43"/>
      <c r="AA53" s="43"/>
      <c r="AB53" s="43"/>
      <c r="AC53" s="43"/>
      <c r="AD53" s="43"/>
    </row>
    <row r="54">
      <c r="A54" s="42" t="s">
        <v>81</v>
      </c>
      <c r="B54" s="62"/>
      <c r="C54" s="63">
        <f>iferror('Quarterly Revenue&amp;EBITDA'!C54/'Quarterly Revenue&amp;EBITDA'!C50 - 1, "")</f>
        <v>0.2405584447</v>
      </c>
      <c r="D54" s="63">
        <f>iferror('Quarterly Revenue&amp;EBITDA'!D54/'Quarterly Revenue&amp;EBITDA'!D50 - 1, "")</f>
        <v>-0.0660405657</v>
      </c>
      <c r="E54" s="63">
        <f>iferror('Quarterly Revenue&amp;EBITDA'!E54/'Quarterly Revenue&amp;EBITDA'!E50 - 1, "")</f>
        <v>0.3342834782</v>
      </c>
      <c r="F54" s="63" t="str">
        <f>iferror('Quarterly Revenue&amp;EBITDA'!F54/'Quarterly Revenue&amp;EBITDA'!F50 - 1, "")</f>
        <v/>
      </c>
      <c r="G54" s="63" t="str">
        <f>iferror('Quarterly Revenue&amp;EBITDA'!G54/'Quarterly Revenue&amp;EBITDA'!G50 - 1, "")</f>
        <v/>
      </c>
      <c r="H54" s="63" t="str">
        <f>iferror('Quarterly Revenue&amp;EBITDA'!H54/'Quarterly Revenue&amp;EBITDA'!H50 - 1, "")</f>
        <v/>
      </c>
      <c r="I54" s="63" t="str">
        <f>iferror('Quarterly Revenue&amp;EBITDA'!I54/'Quarterly Revenue&amp;EBITDA'!I50 - 1, "")</f>
        <v/>
      </c>
      <c r="J54" s="63">
        <f>iferror('Quarterly Revenue&amp;EBITDA'!J54/'Quarterly Revenue&amp;EBITDA'!J50 - 1, "")</f>
        <v>0.2189286965</v>
      </c>
      <c r="K54" s="63" t="str">
        <f>iferror('Quarterly Revenue&amp;EBITDA'!K54/'Quarterly Revenue&amp;EBITDA'!K50 - 1, "")</f>
        <v/>
      </c>
      <c r="L54" s="63" t="str">
        <f>iferror('Quarterly Revenue&amp;EBITDA'!L54/'Quarterly Revenue&amp;EBITDA'!L50 - 1, "")</f>
        <v/>
      </c>
      <c r="M54" s="63" t="str">
        <f>iferror('Quarterly Revenue&amp;EBITDA'!M54/'Quarterly Revenue&amp;EBITDA'!M50 - 1, "")</f>
        <v/>
      </c>
      <c r="N54" s="63" t="str">
        <f>iferror('Quarterly Revenue&amp;EBITDA'!N54/'Quarterly Revenue&amp;EBITDA'!N50 - 1, "")</f>
        <v/>
      </c>
      <c r="O54" s="63">
        <f>iferror('Quarterly Revenue&amp;EBITDA'!O54/'Quarterly Revenue&amp;EBITDA'!O50 - 1, "")</f>
        <v>0.3763969213</v>
      </c>
      <c r="P54" s="63" t="str">
        <f>iferror('Quarterly Revenue&amp;EBITDA'!P54/'Quarterly Revenue&amp;EBITDA'!P50 - 1, "")</f>
        <v/>
      </c>
      <c r="Q54" s="63" t="str">
        <f>iferror('Quarterly Revenue&amp;EBITDA'!Q54/'Quarterly Revenue&amp;EBITDA'!Q50 - 1, "")</f>
        <v/>
      </c>
      <c r="R54" s="63"/>
      <c r="S54" s="63" t="str">
        <f>iferror('Quarterly Revenue&amp;EBITDA'!S54/'Quarterly Revenue&amp;EBITDA'!S50 - 1, "")</f>
        <v/>
      </c>
      <c r="T54" s="63" t="str">
        <f>iferror('Quarterly Revenue&amp;EBITDA'!T54/'Quarterly Revenue&amp;EBITDA'!T50 - 1, "")</f>
        <v/>
      </c>
      <c r="U54" s="63" t="str">
        <f>iferror('Quarterly Revenue&amp;EBITDA'!U54/'Quarterly Revenue&amp;EBITDA'!U50 - 1, "")</f>
        <v/>
      </c>
      <c r="V54" s="63">
        <f>iferror('Quarterly Revenue&amp;EBITDA'!V54/'Quarterly Revenue&amp;EBITDA'!V50 - 1, "")</f>
        <v>-0.1517241379</v>
      </c>
      <c r="W54" s="62"/>
      <c r="X54" s="63">
        <f>iferror('Quarterly Revenue&amp;EBITDA'!X54/'Quarterly Revenue&amp;EBITDA'!X50 - 1, "")</f>
        <v>0.1070915666</v>
      </c>
      <c r="Y54" s="43"/>
      <c r="Z54" s="43"/>
      <c r="AA54" s="43"/>
      <c r="AB54" s="43"/>
      <c r="AC54" s="43"/>
      <c r="AD54" s="43"/>
    </row>
    <row r="55">
      <c r="A55" s="42" t="s">
        <v>82</v>
      </c>
      <c r="B55" s="62"/>
      <c r="C55" s="63">
        <f>iferror('Quarterly Revenue&amp;EBITDA'!C55/'Quarterly Revenue&amp;EBITDA'!C51 - 1, "")</f>
        <v>0.3193435839</v>
      </c>
      <c r="D55" s="63">
        <f>iferror('Quarterly Revenue&amp;EBITDA'!D55/'Quarterly Revenue&amp;EBITDA'!D51 - 1, "")</f>
        <v>0.1059382418</v>
      </c>
      <c r="E55" s="63">
        <f>iferror('Quarterly Revenue&amp;EBITDA'!E55/'Quarterly Revenue&amp;EBITDA'!E51 - 1, "")</f>
        <v>0.4997483761</v>
      </c>
      <c r="F55" s="63">
        <f>iferror('Quarterly Revenue&amp;EBITDA'!F55/'Quarterly Revenue&amp;EBITDA'!F51 - 1, "")</f>
        <v>0.3764559529</v>
      </c>
      <c r="G55" s="63" t="str">
        <f>iferror('Quarterly Revenue&amp;EBITDA'!G55/'Quarterly Revenue&amp;EBITDA'!G51 - 1, "")</f>
        <v/>
      </c>
      <c r="H55" s="63" t="str">
        <f>iferror('Quarterly Revenue&amp;EBITDA'!H55/'Quarterly Revenue&amp;EBITDA'!H51 - 1, "")</f>
        <v/>
      </c>
      <c r="I55" s="63" t="str">
        <f>iferror('Quarterly Revenue&amp;EBITDA'!I55/'Quarterly Revenue&amp;EBITDA'!I51 - 1, "")</f>
        <v/>
      </c>
      <c r="J55" s="63">
        <f>iferror('Quarterly Revenue&amp;EBITDA'!J55/'Quarterly Revenue&amp;EBITDA'!J51 - 1, "")</f>
        <v>0.2189286965</v>
      </c>
      <c r="K55" s="63" t="str">
        <f>iferror('Quarterly Revenue&amp;EBITDA'!K55/'Quarterly Revenue&amp;EBITDA'!K51 - 1, "")</f>
        <v/>
      </c>
      <c r="L55" s="63">
        <f>iferror('Quarterly Revenue&amp;EBITDA'!L55/'Quarterly Revenue&amp;EBITDA'!L51 - 1, "")</f>
        <v>0.3988971073</v>
      </c>
      <c r="M55" s="63" t="str">
        <f>iferror('Quarterly Revenue&amp;EBITDA'!M55/'Quarterly Revenue&amp;EBITDA'!M51 - 1, "")</f>
        <v/>
      </c>
      <c r="N55" s="63" t="str">
        <f>iferror('Quarterly Revenue&amp;EBITDA'!N55/'Quarterly Revenue&amp;EBITDA'!N51 - 1, "")</f>
        <v/>
      </c>
      <c r="O55" s="63">
        <f>iferror('Quarterly Revenue&amp;EBITDA'!O55/'Quarterly Revenue&amp;EBITDA'!O51 - 1, "")</f>
        <v>0.3763969213</v>
      </c>
      <c r="P55" s="63" t="str">
        <f>iferror('Quarterly Revenue&amp;EBITDA'!P55/'Quarterly Revenue&amp;EBITDA'!P51 - 1, "")</f>
        <v/>
      </c>
      <c r="Q55" s="63" t="str">
        <f>iferror('Quarterly Revenue&amp;EBITDA'!Q55/'Quarterly Revenue&amp;EBITDA'!Q51 - 1, "")</f>
        <v/>
      </c>
      <c r="R55" s="63"/>
      <c r="S55" s="63" t="str">
        <f>iferror('Quarterly Revenue&amp;EBITDA'!S55/'Quarterly Revenue&amp;EBITDA'!S51 - 1, "")</f>
        <v/>
      </c>
      <c r="T55" s="63" t="str">
        <f>iferror('Quarterly Revenue&amp;EBITDA'!T55/'Quarterly Revenue&amp;EBITDA'!T51 - 1, "")</f>
        <v/>
      </c>
      <c r="U55" s="63" t="str">
        <f>iferror('Quarterly Revenue&amp;EBITDA'!U55/'Quarterly Revenue&amp;EBITDA'!U51 - 1, "")</f>
        <v/>
      </c>
      <c r="V55" s="63">
        <f>iferror('Quarterly Revenue&amp;EBITDA'!V55/'Quarterly Revenue&amp;EBITDA'!V51 - 1, "")</f>
        <v>0.02640514905</v>
      </c>
      <c r="W55" s="62"/>
      <c r="X55" s="63">
        <f>iferror('Quarterly Revenue&amp;EBITDA'!X55/'Quarterly Revenue&amp;EBITDA'!X51 - 1, "")</f>
        <v>0.1070915666</v>
      </c>
      <c r="Y55" s="43"/>
      <c r="Z55" s="43"/>
      <c r="AA55" s="43"/>
      <c r="AB55" s="43"/>
      <c r="AC55" s="43"/>
      <c r="AD55" s="43"/>
    </row>
    <row r="56">
      <c r="A56" s="42" t="s">
        <v>83</v>
      </c>
      <c r="B56" s="62"/>
      <c r="C56" s="63">
        <f>iferror('Quarterly Revenue&amp;EBITDA'!C56/'Quarterly Revenue&amp;EBITDA'!C52 - 1, "")</f>
        <v>0.3193435839</v>
      </c>
      <c r="D56" s="63">
        <f>iferror('Quarterly Revenue&amp;EBITDA'!D56/'Quarterly Revenue&amp;EBITDA'!D52 - 1, "")</f>
        <v>0.1059382418</v>
      </c>
      <c r="E56" s="63">
        <f>iferror('Quarterly Revenue&amp;EBITDA'!E56/'Quarterly Revenue&amp;EBITDA'!E52 - 1, "")</f>
        <v>0.4997483761</v>
      </c>
      <c r="F56" s="63">
        <f>iferror('Quarterly Revenue&amp;EBITDA'!F56/'Quarterly Revenue&amp;EBITDA'!F52 - 1, "")</f>
        <v>0.3764559529</v>
      </c>
      <c r="G56" s="63" t="str">
        <f>iferror('Quarterly Revenue&amp;EBITDA'!G56/'Quarterly Revenue&amp;EBITDA'!G52 - 1, "")</f>
        <v/>
      </c>
      <c r="H56" s="63" t="str">
        <f>iferror('Quarterly Revenue&amp;EBITDA'!H56/'Quarterly Revenue&amp;EBITDA'!H52 - 1, "")</f>
        <v/>
      </c>
      <c r="I56" s="63" t="str">
        <f>iferror('Quarterly Revenue&amp;EBITDA'!I56/'Quarterly Revenue&amp;EBITDA'!I52 - 1, "")</f>
        <v/>
      </c>
      <c r="J56" s="63">
        <f>iferror('Quarterly Revenue&amp;EBITDA'!J56/'Quarterly Revenue&amp;EBITDA'!J52 - 1, "")</f>
        <v>0.4925921494</v>
      </c>
      <c r="K56" s="63" t="str">
        <f>iferror('Quarterly Revenue&amp;EBITDA'!K56/'Quarterly Revenue&amp;EBITDA'!K52 - 1, "")</f>
        <v/>
      </c>
      <c r="L56" s="63">
        <f>iferror('Quarterly Revenue&amp;EBITDA'!L56/'Quarterly Revenue&amp;EBITDA'!L52 - 1, "")</f>
        <v>0.3988971073</v>
      </c>
      <c r="M56" s="63" t="str">
        <f>iferror('Quarterly Revenue&amp;EBITDA'!M56/'Quarterly Revenue&amp;EBITDA'!M52 - 1, "")</f>
        <v/>
      </c>
      <c r="N56" s="63" t="str">
        <f>iferror('Quarterly Revenue&amp;EBITDA'!N56/'Quarterly Revenue&amp;EBITDA'!N52 - 1, "")</f>
        <v/>
      </c>
      <c r="O56" s="63">
        <f>iferror('Quarterly Revenue&amp;EBITDA'!O56/'Quarterly Revenue&amp;EBITDA'!O52 - 1, "")</f>
        <v>0.3763969213</v>
      </c>
      <c r="P56" s="63" t="str">
        <f>iferror('Quarterly Revenue&amp;EBITDA'!P56/'Quarterly Revenue&amp;EBITDA'!P52 - 1, "")</f>
        <v/>
      </c>
      <c r="Q56" s="63" t="str">
        <f>iferror('Quarterly Revenue&amp;EBITDA'!Q56/'Quarterly Revenue&amp;EBITDA'!Q52 - 1, "")</f>
        <v/>
      </c>
      <c r="R56" s="63"/>
      <c r="S56" s="63" t="str">
        <f>iferror('Quarterly Revenue&amp;EBITDA'!S56/'Quarterly Revenue&amp;EBITDA'!S52 - 1, "")</f>
        <v/>
      </c>
      <c r="T56" s="63" t="str">
        <f>iferror('Quarterly Revenue&amp;EBITDA'!T56/'Quarterly Revenue&amp;EBITDA'!T52 - 1, "")</f>
        <v/>
      </c>
      <c r="U56" s="63" t="str">
        <f>iferror('Quarterly Revenue&amp;EBITDA'!U56/'Quarterly Revenue&amp;EBITDA'!U52 - 1, "")</f>
        <v/>
      </c>
      <c r="V56" s="63">
        <f>iferror('Quarterly Revenue&amp;EBITDA'!V56/'Quarterly Revenue&amp;EBITDA'!V52 - 1, "")</f>
        <v>0.02640514905</v>
      </c>
      <c r="W56" s="62"/>
      <c r="X56" s="63">
        <f>iferror('Quarterly Revenue&amp;EBITDA'!X56/'Quarterly Revenue&amp;EBITDA'!X52 - 1, "")</f>
        <v>0.1070915666</v>
      </c>
      <c r="Y56" s="43"/>
      <c r="Z56" s="43"/>
      <c r="AA56" s="43"/>
      <c r="AB56" s="43"/>
      <c r="AC56" s="43"/>
      <c r="AD56" s="43"/>
    </row>
    <row r="57">
      <c r="A57" s="42" t="s">
        <v>84</v>
      </c>
      <c r="B57" s="62"/>
      <c r="C57" s="63">
        <f>iferror('Quarterly Revenue&amp;EBITDA'!C57/'Quarterly Revenue&amp;EBITDA'!C53 - 1, "")</f>
        <v>0.3193435839</v>
      </c>
      <c r="D57" s="63">
        <f>iferror('Quarterly Revenue&amp;EBITDA'!D57/'Quarterly Revenue&amp;EBITDA'!D53 - 1, "")</f>
        <v>0.1059382418</v>
      </c>
      <c r="E57" s="63">
        <f>iferror('Quarterly Revenue&amp;EBITDA'!E57/'Quarterly Revenue&amp;EBITDA'!E53 - 1, "")</f>
        <v>0.4997483761</v>
      </c>
      <c r="F57" s="63">
        <f>iferror('Quarterly Revenue&amp;EBITDA'!F57/'Quarterly Revenue&amp;EBITDA'!F53 - 1, "")</f>
        <v>0.3764559529</v>
      </c>
      <c r="G57" s="63" t="str">
        <f>iferror('Quarterly Revenue&amp;EBITDA'!G57/'Quarterly Revenue&amp;EBITDA'!G53 - 1, "")</f>
        <v/>
      </c>
      <c r="H57" s="63" t="str">
        <f>iferror('Quarterly Revenue&amp;EBITDA'!H57/'Quarterly Revenue&amp;EBITDA'!H53 - 1, "")</f>
        <v/>
      </c>
      <c r="I57" s="63" t="str">
        <f>iferror('Quarterly Revenue&amp;EBITDA'!I57/'Quarterly Revenue&amp;EBITDA'!I53 - 1, "")</f>
        <v/>
      </c>
      <c r="J57" s="63">
        <f>iferror('Quarterly Revenue&amp;EBITDA'!J57/'Quarterly Revenue&amp;EBITDA'!J53 - 1, "")</f>
        <v>0.4925921494</v>
      </c>
      <c r="K57" s="63" t="str">
        <f>iferror('Quarterly Revenue&amp;EBITDA'!K57/'Quarterly Revenue&amp;EBITDA'!K53 - 1, "")</f>
        <v/>
      </c>
      <c r="L57" s="63">
        <f>iferror('Quarterly Revenue&amp;EBITDA'!L57/'Quarterly Revenue&amp;EBITDA'!L53 - 1, "")</f>
        <v>0.3988971073</v>
      </c>
      <c r="M57" s="63" t="str">
        <f>iferror('Quarterly Revenue&amp;EBITDA'!M57/'Quarterly Revenue&amp;EBITDA'!M53 - 1, "")</f>
        <v/>
      </c>
      <c r="N57" s="63" t="str">
        <f>iferror('Quarterly Revenue&amp;EBITDA'!N57/'Quarterly Revenue&amp;EBITDA'!N53 - 1, "")</f>
        <v/>
      </c>
      <c r="O57" s="63">
        <f>iferror('Quarterly Revenue&amp;EBITDA'!O57/'Quarterly Revenue&amp;EBITDA'!O53 - 1, "")</f>
        <v>0.4774586927</v>
      </c>
      <c r="P57" s="63" t="str">
        <f>iferror('Quarterly Revenue&amp;EBITDA'!P57/'Quarterly Revenue&amp;EBITDA'!P53 - 1, "")</f>
        <v/>
      </c>
      <c r="Q57" s="63" t="str">
        <f>iferror('Quarterly Revenue&amp;EBITDA'!Q57/'Quarterly Revenue&amp;EBITDA'!Q53 - 1, "")</f>
        <v/>
      </c>
      <c r="R57" s="63"/>
      <c r="S57" s="63" t="str">
        <f>iferror('Quarterly Revenue&amp;EBITDA'!S57/'Quarterly Revenue&amp;EBITDA'!S53 - 1, "")</f>
        <v/>
      </c>
      <c r="T57" s="63" t="str">
        <f>iferror('Quarterly Revenue&amp;EBITDA'!T57/'Quarterly Revenue&amp;EBITDA'!T53 - 1, "")</f>
        <v/>
      </c>
      <c r="U57" s="63" t="str">
        <f>iferror('Quarterly Revenue&amp;EBITDA'!U57/'Quarterly Revenue&amp;EBITDA'!U53 - 1, "")</f>
        <v/>
      </c>
      <c r="V57" s="63">
        <f>iferror('Quarterly Revenue&amp;EBITDA'!V57/'Quarterly Revenue&amp;EBITDA'!V53 - 1, "")</f>
        <v>0.02640514905</v>
      </c>
      <c r="W57" s="62"/>
      <c r="X57" s="63">
        <f>iferror('Quarterly Revenue&amp;EBITDA'!X57/'Quarterly Revenue&amp;EBITDA'!X53 - 1, "")</f>
        <v>0.2983535344</v>
      </c>
      <c r="Y57" s="43"/>
      <c r="Z57" s="43"/>
      <c r="AA57" s="43"/>
      <c r="AB57" s="43"/>
      <c r="AC57" s="43"/>
      <c r="AD57" s="43"/>
    </row>
    <row r="58">
      <c r="A58" s="42" t="s">
        <v>85</v>
      </c>
      <c r="B58" s="62"/>
      <c r="C58" s="63">
        <f>iferror('Quarterly Revenue&amp;EBITDA'!C58/'Quarterly Revenue&amp;EBITDA'!C54 - 1, "")</f>
        <v>0.3193435839</v>
      </c>
      <c r="D58" s="63">
        <f>iferror('Quarterly Revenue&amp;EBITDA'!D58/'Quarterly Revenue&amp;EBITDA'!D54 - 1, "")</f>
        <v>0.1059382418</v>
      </c>
      <c r="E58" s="63">
        <f>iferror('Quarterly Revenue&amp;EBITDA'!E58/'Quarterly Revenue&amp;EBITDA'!E54 - 1, "")</f>
        <v>0.4997483761</v>
      </c>
      <c r="F58" s="63">
        <f>iferror('Quarterly Revenue&amp;EBITDA'!F58/'Quarterly Revenue&amp;EBITDA'!F54 - 1, "")</f>
        <v>0.3764559529</v>
      </c>
      <c r="G58" s="63" t="str">
        <f>iferror('Quarterly Revenue&amp;EBITDA'!G58/'Quarterly Revenue&amp;EBITDA'!G54 - 1, "")</f>
        <v/>
      </c>
      <c r="H58" s="63" t="str">
        <f>iferror('Quarterly Revenue&amp;EBITDA'!H58/'Quarterly Revenue&amp;EBITDA'!H54 - 1, "")</f>
        <v/>
      </c>
      <c r="I58" s="63" t="str">
        <f>iferror('Quarterly Revenue&amp;EBITDA'!I58/'Quarterly Revenue&amp;EBITDA'!I54 - 1, "")</f>
        <v/>
      </c>
      <c r="J58" s="63">
        <f>iferror('Quarterly Revenue&amp;EBITDA'!J58/'Quarterly Revenue&amp;EBITDA'!J54 - 1, "")</f>
        <v>0.4925921494</v>
      </c>
      <c r="K58" s="63" t="str">
        <f>iferror('Quarterly Revenue&amp;EBITDA'!K58/'Quarterly Revenue&amp;EBITDA'!K54 - 1, "")</f>
        <v/>
      </c>
      <c r="L58" s="63">
        <f>iferror('Quarterly Revenue&amp;EBITDA'!L58/'Quarterly Revenue&amp;EBITDA'!L54 - 1, "")</f>
        <v>0.3988971073</v>
      </c>
      <c r="M58" s="63" t="str">
        <f>iferror('Quarterly Revenue&amp;EBITDA'!M58/'Quarterly Revenue&amp;EBITDA'!M54 - 1, "")</f>
        <v/>
      </c>
      <c r="N58" s="63" t="str">
        <f>iferror('Quarterly Revenue&amp;EBITDA'!N58/'Quarterly Revenue&amp;EBITDA'!N54 - 1, "")</f>
        <v/>
      </c>
      <c r="O58" s="63">
        <f>iferror('Quarterly Revenue&amp;EBITDA'!O58/'Quarterly Revenue&amp;EBITDA'!O54 - 1, "")</f>
        <v>0.4774586927</v>
      </c>
      <c r="P58" s="63" t="str">
        <f>iferror('Quarterly Revenue&amp;EBITDA'!P58/'Quarterly Revenue&amp;EBITDA'!P54 - 1, "")</f>
        <v/>
      </c>
      <c r="Q58" s="63" t="str">
        <f>iferror('Quarterly Revenue&amp;EBITDA'!Q58/'Quarterly Revenue&amp;EBITDA'!Q54 - 1, "")</f>
        <v/>
      </c>
      <c r="R58" s="63"/>
      <c r="S58" s="63" t="str">
        <f>iferror('Quarterly Revenue&amp;EBITDA'!S58/'Quarterly Revenue&amp;EBITDA'!S54 - 1, "")</f>
        <v/>
      </c>
      <c r="T58" s="63" t="str">
        <f>iferror('Quarterly Revenue&amp;EBITDA'!T58/'Quarterly Revenue&amp;EBITDA'!T54 - 1, "")</f>
        <v/>
      </c>
      <c r="U58" s="63" t="str">
        <f>iferror('Quarterly Revenue&amp;EBITDA'!U58/'Quarterly Revenue&amp;EBITDA'!U54 - 1, "")</f>
        <v/>
      </c>
      <c r="V58" s="63">
        <f>iferror('Quarterly Revenue&amp;EBITDA'!V58/'Quarterly Revenue&amp;EBITDA'!V54 - 1, "")</f>
        <v>0.02640514905</v>
      </c>
      <c r="W58" s="62"/>
      <c r="X58" s="63">
        <f>iferror('Quarterly Revenue&amp;EBITDA'!X58/'Quarterly Revenue&amp;EBITDA'!X54 - 1, "")</f>
        <v>0.2983535344</v>
      </c>
      <c r="Y58" s="43"/>
      <c r="Z58" s="43"/>
      <c r="AA58" s="43"/>
      <c r="AB58" s="43"/>
      <c r="AC58" s="43"/>
      <c r="AD58" s="43"/>
    </row>
    <row r="59">
      <c r="A59" s="42" t="s">
        <v>86</v>
      </c>
      <c r="B59" s="62"/>
      <c r="C59" s="63">
        <f>iferror('Quarterly Revenue&amp;EBITDA'!C59/'Quarterly Revenue&amp;EBITDA'!C55 - 1, "")</f>
        <v>0.4119105775</v>
      </c>
      <c r="D59" s="63">
        <f>iferror('Quarterly Revenue&amp;EBITDA'!D59/'Quarterly Revenue&amp;EBITDA'!D55 - 1, "")</f>
        <v>0.1369191187</v>
      </c>
      <c r="E59" s="63">
        <f>iferror('Quarterly Revenue&amp;EBITDA'!E59/'Quarterly Revenue&amp;EBITDA'!E55 - 1, "")</f>
        <v>0.2751971662</v>
      </c>
      <c r="F59" s="63">
        <f>iferror('Quarterly Revenue&amp;EBITDA'!F59/'Quarterly Revenue&amp;EBITDA'!F55 - 1, "")</f>
        <v>0.3145212376</v>
      </c>
      <c r="G59" s="63" t="str">
        <f>iferror('Quarterly Revenue&amp;EBITDA'!G59/'Quarterly Revenue&amp;EBITDA'!G55 - 1, "")</f>
        <v/>
      </c>
      <c r="H59" s="63" t="str">
        <f>iferror('Quarterly Revenue&amp;EBITDA'!H59/'Quarterly Revenue&amp;EBITDA'!H55 - 1, "")</f>
        <v/>
      </c>
      <c r="I59" s="63" t="str">
        <f>iferror('Quarterly Revenue&amp;EBITDA'!I59/'Quarterly Revenue&amp;EBITDA'!I55 - 1, "")</f>
        <v/>
      </c>
      <c r="J59" s="63">
        <f>iferror('Quarterly Revenue&amp;EBITDA'!J59/'Quarterly Revenue&amp;EBITDA'!J55 - 1, "")</f>
        <v>0.4925921494</v>
      </c>
      <c r="K59" s="63" t="str">
        <f>iferror('Quarterly Revenue&amp;EBITDA'!K59/'Quarterly Revenue&amp;EBITDA'!K55 - 1, "")</f>
        <v/>
      </c>
      <c r="L59" s="63">
        <f>iferror('Quarterly Revenue&amp;EBITDA'!L59/'Quarterly Revenue&amp;EBITDA'!L55 - 1, "")</f>
        <v>0.1015387398</v>
      </c>
      <c r="M59" s="63" t="str">
        <f>iferror('Quarterly Revenue&amp;EBITDA'!M59/'Quarterly Revenue&amp;EBITDA'!M55 - 1, "")</f>
        <v/>
      </c>
      <c r="N59" s="63" t="str">
        <f>iferror('Quarterly Revenue&amp;EBITDA'!N59/'Quarterly Revenue&amp;EBITDA'!N55 - 1, "")</f>
        <v/>
      </c>
      <c r="O59" s="63">
        <f>iferror('Quarterly Revenue&amp;EBITDA'!O59/'Quarterly Revenue&amp;EBITDA'!O55 - 1, "")</f>
        <v>0.4774586927</v>
      </c>
      <c r="P59" s="63" t="str">
        <f>iferror('Quarterly Revenue&amp;EBITDA'!P59/'Quarterly Revenue&amp;EBITDA'!P55 - 1, "")</f>
        <v/>
      </c>
      <c r="Q59" s="63" t="str">
        <f>iferror('Quarterly Revenue&amp;EBITDA'!Q59/'Quarterly Revenue&amp;EBITDA'!Q55 - 1, "")</f>
        <v/>
      </c>
      <c r="R59" s="63"/>
      <c r="S59" s="63" t="str">
        <f>iferror('Quarterly Revenue&amp;EBITDA'!S59/'Quarterly Revenue&amp;EBITDA'!S55 - 1, "")</f>
        <v/>
      </c>
      <c r="T59" s="63" t="str">
        <f>iferror('Quarterly Revenue&amp;EBITDA'!T59/'Quarterly Revenue&amp;EBITDA'!T55 - 1, "")</f>
        <v/>
      </c>
      <c r="U59" s="63" t="str">
        <f>iferror('Quarterly Revenue&amp;EBITDA'!U59/'Quarterly Revenue&amp;EBITDA'!U55 - 1, "")</f>
        <v/>
      </c>
      <c r="V59" s="63">
        <f>iferror('Quarterly Revenue&amp;EBITDA'!V59/'Quarterly Revenue&amp;EBITDA'!V55 - 1, "")</f>
        <v>0.01363983804</v>
      </c>
      <c r="W59" s="62"/>
      <c r="X59" s="63">
        <f>iferror('Quarterly Revenue&amp;EBITDA'!X59/'Quarterly Revenue&amp;EBITDA'!X55 - 1, "")</f>
        <v>0.2983535344</v>
      </c>
      <c r="Y59" s="63" t="str">
        <f>iferror('Quarterly Revenue&amp;EBITDA'!Y59/'Quarterly Revenue&amp;EBITDA'!Y55 - 1, "")</f>
        <v/>
      </c>
      <c r="Z59" s="63" t="str">
        <f>iferror('Quarterly Revenue&amp;EBITDA'!Z59/'Quarterly Revenue&amp;EBITDA'!Z55 - 1, "")</f>
        <v/>
      </c>
      <c r="AA59" s="63" t="str">
        <f>iferror('Quarterly Revenue&amp;EBITDA'!AA59/'Quarterly Revenue&amp;EBITDA'!AA55 - 1, "")</f>
        <v/>
      </c>
      <c r="AB59" s="63" t="str">
        <f>iferror('Quarterly Revenue&amp;EBITDA'!AB59/'Quarterly Revenue&amp;EBITDA'!AB55 - 1, "")</f>
        <v/>
      </c>
      <c r="AC59" s="63" t="str">
        <f>iferror('Quarterly Revenue&amp;EBITDA'!AC59/'Quarterly Revenue&amp;EBITDA'!AC55 - 1, "")</f>
        <v/>
      </c>
      <c r="AD59" s="43"/>
    </row>
    <row r="60">
      <c r="A60" s="42" t="s">
        <v>87</v>
      </c>
      <c r="B60" s="62"/>
      <c r="C60" s="63">
        <f>iferror('Quarterly Revenue&amp;EBITDA'!C60/'Quarterly Revenue&amp;EBITDA'!C56 - 1, "")</f>
        <v>0.4119105775</v>
      </c>
      <c r="D60" s="63">
        <f>iferror('Quarterly Revenue&amp;EBITDA'!D60/'Quarterly Revenue&amp;EBITDA'!D56 - 1, "")</f>
        <v>0.1369191187</v>
      </c>
      <c r="E60" s="63">
        <f>iferror('Quarterly Revenue&amp;EBITDA'!E60/'Quarterly Revenue&amp;EBITDA'!E56 - 1, "")</f>
        <v>0.2751971662</v>
      </c>
      <c r="F60" s="63">
        <f>iferror('Quarterly Revenue&amp;EBITDA'!F60/'Quarterly Revenue&amp;EBITDA'!F56 - 1, "")</f>
        <v>0.3145212376</v>
      </c>
      <c r="G60" s="63" t="str">
        <f>iferror('Quarterly Revenue&amp;EBITDA'!G60/'Quarterly Revenue&amp;EBITDA'!G56 - 1, "")</f>
        <v/>
      </c>
      <c r="H60" s="63" t="str">
        <f>iferror('Quarterly Revenue&amp;EBITDA'!H60/'Quarterly Revenue&amp;EBITDA'!H56 - 1, "")</f>
        <v/>
      </c>
      <c r="I60" s="63" t="str">
        <f>iferror('Quarterly Revenue&amp;EBITDA'!I60/'Quarterly Revenue&amp;EBITDA'!I56 - 1, "")</f>
        <v/>
      </c>
      <c r="J60" s="63">
        <f>iferror('Quarterly Revenue&amp;EBITDA'!J60/'Quarterly Revenue&amp;EBITDA'!J56 - 1, "")</f>
        <v>0.5763103246</v>
      </c>
      <c r="K60" s="63" t="str">
        <f>iferror('Quarterly Revenue&amp;EBITDA'!K60/'Quarterly Revenue&amp;EBITDA'!K56 - 1, "")</f>
        <v/>
      </c>
      <c r="L60" s="63">
        <f>iferror('Quarterly Revenue&amp;EBITDA'!L60/'Quarterly Revenue&amp;EBITDA'!L56 - 1, "")</f>
        <v>0.1015387398</v>
      </c>
      <c r="M60" s="63" t="str">
        <f>iferror('Quarterly Revenue&amp;EBITDA'!M60/'Quarterly Revenue&amp;EBITDA'!M56 - 1, "")</f>
        <v/>
      </c>
      <c r="N60" s="63" t="str">
        <f>iferror('Quarterly Revenue&amp;EBITDA'!N60/'Quarterly Revenue&amp;EBITDA'!N56 - 1, "")</f>
        <v/>
      </c>
      <c r="O60" s="63">
        <f>iferror('Quarterly Revenue&amp;EBITDA'!O60/'Quarterly Revenue&amp;EBITDA'!O56 - 1, "")</f>
        <v>0.4774586927</v>
      </c>
      <c r="P60" s="63" t="str">
        <f>iferror('Quarterly Revenue&amp;EBITDA'!P60/'Quarterly Revenue&amp;EBITDA'!P56 - 1, "")</f>
        <v/>
      </c>
      <c r="Q60" s="63" t="str">
        <f>iferror('Quarterly Revenue&amp;EBITDA'!Q60/'Quarterly Revenue&amp;EBITDA'!Q56 - 1, "")</f>
        <v/>
      </c>
      <c r="R60" s="63"/>
      <c r="S60" s="63" t="str">
        <f>iferror('Quarterly Revenue&amp;EBITDA'!S60/'Quarterly Revenue&amp;EBITDA'!S56 - 1, "")</f>
        <v/>
      </c>
      <c r="T60" s="63" t="str">
        <f>iferror('Quarterly Revenue&amp;EBITDA'!T60/'Quarterly Revenue&amp;EBITDA'!T56 - 1, "")</f>
        <v/>
      </c>
      <c r="U60" s="63" t="str">
        <f>iferror('Quarterly Revenue&amp;EBITDA'!U60/'Quarterly Revenue&amp;EBITDA'!U56 - 1, "")</f>
        <v/>
      </c>
      <c r="V60" s="63">
        <f>iferror('Quarterly Revenue&amp;EBITDA'!V60/'Quarterly Revenue&amp;EBITDA'!V56 - 1, "")</f>
        <v>0.01363983804</v>
      </c>
      <c r="W60" s="62"/>
      <c r="X60" s="63">
        <f>iferror('Quarterly Revenue&amp;EBITDA'!X60/'Quarterly Revenue&amp;EBITDA'!X56 - 1, "")</f>
        <v>0.2983535344</v>
      </c>
      <c r="Y60" s="63" t="str">
        <f>iferror('Quarterly Revenue&amp;EBITDA'!Y60/'Quarterly Revenue&amp;EBITDA'!Y56 - 1, "")</f>
        <v/>
      </c>
      <c r="Z60" s="63" t="str">
        <f>iferror('Quarterly Revenue&amp;EBITDA'!Z60/'Quarterly Revenue&amp;EBITDA'!Z56 - 1, "")</f>
        <v/>
      </c>
      <c r="AA60" s="63" t="str">
        <f>iferror('Quarterly Revenue&amp;EBITDA'!AA60/'Quarterly Revenue&amp;EBITDA'!AA56 - 1, "")</f>
        <v/>
      </c>
      <c r="AB60" s="63" t="str">
        <f>iferror('Quarterly Revenue&amp;EBITDA'!AB60/'Quarterly Revenue&amp;EBITDA'!AB56 - 1, "")</f>
        <v/>
      </c>
      <c r="AC60" s="63" t="str">
        <f>iferror('Quarterly Revenue&amp;EBITDA'!AC60/'Quarterly Revenue&amp;EBITDA'!AC56 - 1, "")</f>
        <v/>
      </c>
      <c r="AD60" s="43"/>
    </row>
    <row r="61">
      <c r="A61" s="42" t="s">
        <v>88</v>
      </c>
      <c r="B61" s="62"/>
      <c r="C61" s="63">
        <f>iferror('Quarterly Revenue&amp;EBITDA'!C61/'Quarterly Revenue&amp;EBITDA'!C57 - 1, "")</f>
        <v>0.4119105775</v>
      </c>
      <c r="D61" s="63">
        <f>iferror('Quarterly Revenue&amp;EBITDA'!D61/'Quarterly Revenue&amp;EBITDA'!D57 - 1, "")</f>
        <v>0.1369191187</v>
      </c>
      <c r="E61" s="63">
        <f>iferror('Quarterly Revenue&amp;EBITDA'!E61/'Quarterly Revenue&amp;EBITDA'!E57 - 1, "")</f>
        <v>0.2751971662</v>
      </c>
      <c r="F61" s="63">
        <f>iferror('Quarterly Revenue&amp;EBITDA'!F61/'Quarterly Revenue&amp;EBITDA'!F57 - 1, "")</f>
        <v>0.3145212376</v>
      </c>
      <c r="G61" s="63" t="str">
        <f>iferror('Quarterly Revenue&amp;EBITDA'!G61/'Quarterly Revenue&amp;EBITDA'!G57 - 1, "")</f>
        <v/>
      </c>
      <c r="H61" s="63" t="str">
        <f>iferror('Quarterly Revenue&amp;EBITDA'!H61/'Quarterly Revenue&amp;EBITDA'!H57 - 1, "")</f>
        <v/>
      </c>
      <c r="I61" s="63" t="str">
        <f>iferror('Quarterly Revenue&amp;EBITDA'!I61/'Quarterly Revenue&amp;EBITDA'!I57 - 1, "")</f>
        <v/>
      </c>
      <c r="J61" s="63">
        <f>iferror('Quarterly Revenue&amp;EBITDA'!J61/'Quarterly Revenue&amp;EBITDA'!J57 - 1, "")</f>
        <v>0.5763103246</v>
      </c>
      <c r="K61" s="63" t="str">
        <f>iferror('Quarterly Revenue&amp;EBITDA'!K61/'Quarterly Revenue&amp;EBITDA'!K57 - 1, "")</f>
        <v/>
      </c>
      <c r="L61" s="63">
        <f>iferror('Quarterly Revenue&amp;EBITDA'!L61/'Quarterly Revenue&amp;EBITDA'!L57 - 1, "")</f>
        <v>0.1015387398</v>
      </c>
      <c r="M61" s="63" t="str">
        <f>iferror('Quarterly Revenue&amp;EBITDA'!M61/'Quarterly Revenue&amp;EBITDA'!M57 - 1, "")</f>
        <v/>
      </c>
      <c r="N61" s="63" t="str">
        <f>iferror('Quarterly Revenue&amp;EBITDA'!N61/'Quarterly Revenue&amp;EBITDA'!N57 - 1, "")</f>
        <v/>
      </c>
      <c r="O61" s="63">
        <f>iferror('Quarterly Revenue&amp;EBITDA'!O61/'Quarterly Revenue&amp;EBITDA'!O57 - 1, "")</f>
        <v>0.256682205</v>
      </c>
      <c r="P61" s="63" t="str">
        <f>iferror('Quarterly Revenue&amp;EBITDA'!P61/'Quarterly Revenue&amp;EBITDA'!P57 - 1, "")</f>
        <v/>
      </c>
      <c r="Q61" s="63" t="str">
        <f>iferror('Quarterly Revenue&amp;EBITDA'!Q61/'Quarterly Revenue&amp;EBITDA'!Q57 - 1, "")</f>
        <v/>
      </c>
      <c r="R61" s="63"/>
      <c r="S61" s="63" t="str">
        <f>iferror('Quarterly Revenue&amp;EBITDA'!S61/'Quarterly Revenue&amp;EBITDA'!S57 - 1, "")</f>
        <v/>
      </c>
      <c r="T61" s="63" t="str">
        <f>iferror('Quarterly Revenue&amp;EBITDA'!T61/'Quarterly Revenue&amp;EBITDA'!T57 - 1, "")</f>
        <v/>
      </c>
      <c r="U61" s="63" t="str">
        <f>iferror('Quarterly Revenue&amp;EBITDA'!U61/'Quarterly Revenue&amp;EBITDA'!U57 - 1, "")</f>
        <v/>
      </c>
      <c r="V61" s="63">
        <f>iferror('Quarterly Revenue&amp;EBITDA'!V61/'Quarterly Revenue&amp;EBITDA'!V57 - 1, "")</f>
        <v>0.01363983804</v>
      </c>
      <c r="W61" s="62"/>
      <c r="X61" s="63">
        <f>iferror('Quarterly Revenue&amp;EBITDA'!X61/'Quarterly Revenue&amp;EBITDA'!X57 - 1, "")</f>
        <v>0.03566101744</v>
      </c>
      <c r="Y61" s="63" t="str">
        <f>iferror('Quarterly Revenue&amp;EBITDA'!Y61/'Quarterly Revenue&amp;EBITDA'!Y57 - 1, "")</f>
        <v/>
      </c>
      <c r="Z61" s="63" t="str">
        <f>iferror('Quarterly Revenue&amp;EBITDA'!Z61/'Quarterly Revenue&amp;EBITDA'!Z57 - 1, "")</f>
        <v/>
      </c>
      <c r="AA61" s="63" t="str">
        <f>iferror('Quarterly Revenue&amp;EBITDA'!AA61/'Quarterly Revenue&amp;EBITDA'!AA57 - 1, "")</f>
        <v/>
      </c>
      <c r="AB61" s="63" t="str">
        <f>iferror('Quarterly Revenue&amp;EBITDA'!AB61/'Quarterly Revenue&amp;EBITDA'!AB57 - 1, "")</f>
        <v/>
      </c>
      <c r="AC61" s="63" t="str">
        <f>iferror('Quarterly Revenue&amp;EBITDA'!AC61/'Quarterly Revenue&amp;EBITDA'!AC57 - 1, "")</f>
        <v/>
      </c>
      <c r="AD61" s="43"/>
    </row>
    <row r="62">
      <c r="A62" s="42" t="s">
        <v>89</v>
      </c>
      <c r="B62" s="62"/>
      <c r="C62" s="63">
        <f>iferror('Quarterly Revenue&amp;EBITDA'!C62/'Quarterly Revenue&amp;EBITDA'!C58 - 1, "")</f>
        <v>0.4119105775</v>
      </c>
      <c r="D62" s="63">
        <f>iferror('Quarterly Revenue&amp;EBITDA'!D62/'Quarterly Revenue&amp;EBITDA'!D58 - 1, "")</f>
        <v>0.1369191187</v>
      </c>
      <c r="E62" s="63">
        <f>iferror('Quarterly Revenue&amp;EBITDA'!E62/'Quarterly Revenue&amp;EBITDA'!E58 - 1, "")</f>
        <v>0.2751971662</v>
      </c>
      <c r="F62" s="63">
        <f>iferror('Quarterly Revenue&amp;EBITDA'!F62/'Quarterly Revenue&amp;EBITDA'!F58 - 1, "")</f>
        <v>0.3145212376</v>
      </c>
      <c r="G62" s="63" t="str">
        <f>iferror('Quarterly Revenue&amp;EBITDA'!G62/'Quarterly Revenue&amp;EBITDA'!G58 - 1, "")</f>
        <v/>
      </c>
      <c r="H62" s="63" t="str">
        <f>iferror('Quarterly Revenue&amp;EBITDA'!H62/'Quarterly Revenue&amp;EBITDA'!H58 - 1, "")</f>
        <v/>
      </c>
      <c r="I62" s="63" t="str">
        <f>iferror('Quarterly Revenue&amp;EBITDA'!I62/'Quarterly Revenue&amp;EBITDA'!I58 - 1, "")</f>
        <v/>
      </c>
      <c r="J62" s="63">
        <f>iferror('Quarterly Revenue&amp;EBITDA'!J62/'Quarterly Revenue&amp;EBITDA'!J58 - 1, "")</f>
        <v>0.5763103246</v>
      </c>
      <c r="K62" s="63" t="str">
        <f>iferror('Quarterly Revenue&amp;EBITDA'!K62/'Quarterly Revenue&amp;EBITDA'!K58 - 1, "")</f>
        <v/>
      </c>
      <c r="L62" s="63">
        <f>iferror('Quarterly Revenue&amp;EBITDA'!L62/'Quarterly Revenue&amp;EBITDA'!L58 - 1, "")</f>
        <v>0.1015387398</v>
      </c>
      <c r="M62" s="63" t="str">
        <f>iferror('Quarterly Revenue&amp;EBITDA'!M62/'Quarterly Revenue&amp;EBITDA'!M58 - 1, "")</f>
        <v/>
      </c>
      <c r="N62" s="63" t="str">
        <f>iferror('Quarterly Revenue&amp;EBITDA'!N62/'Quarterly Revenue&amp;EBITDA'!N58 - 1, "")</f>
        <v/>
      </c>
      <c r="O62" s="63">
        <f>iferror('Quarterly Revenue&amp;EBITDA'!O62/'Quarterly Revenue&amp;EBITDA'!O58 - 1, "")</f>
        <v>0.256682205</v>
      </c>
      <c r="P62" s="63" t="str">
        <f>iferror('Quarterly Revenue&amp;EBITDA'!P62/'Quarterly Revenue&amp;EBITDA'!P58 - 1, "")</f>
        <v/>
      </c>
      <c r="Q62" s="63" t="str">
        <f>iferror('Quarterly Revenue&amp;EBITDA'!Q62/'Quarterly Revenue&amp;EBITDA'!Q58 - 1, "")</f>
        <v/>
      </c>
      <c r="R62" s="63"/>
      <c r="S62" s="63" t="str">
        <f>iferror('Quarterly Revenue&amp;EBITDA'!S62/'Quarterly Revenue&amp;EBITDA'!S58 - 1, "")</f>
        <v/>
      </c>
      <c r="T62" s="63" t="str">
        <f>iferror('Quarterly Revenue&amp;EBITDA'!T62/'Quarterly Revenue&amp;EBITDA'!T58 - 1, "")</f>
        <v/>
      </c>
      <c r="U62" s="63" t="str">
        <f>iferror('Quarterly Revenue&amp;EBITDA'!U62/'Quarterly Revenue&amp;EBITDA'!U58 - 1, "")</f>
        <v/>
      </c>
      <c r="V62" s="63">
        <f>iferror('Quarterly Revenue&amp;EBITDA'!V62/'Quarterly Revenue&amp;EBITDA'!V58 - 1, "")</f>
        <v>0.01363983804</v>
      </c>
      <c r="W62" s="62"/>
      <c r="X62" s="63">
        <f>iferror('Quarterly Revenue&amp;EBITDA'!X62/'Quarterly Revenue&amp;EBITDA'!X58 - 1, "")</f>
        <v>0.03566101744</v>
      </c>
      <c r="Y62" s="63" t="str">
        <f>iferror('Quarterly Revenue&amp;EBITDA'!Y62/'Quarterly Revenue&amp;EBITDA'!Y58 - 1, "")</f>
        <v/>
      </c>
      <c r="Z62" s="63" t="str">
        <f>iferror('Quarterly Revenue&amp;EBITDA'!Z62/'Quarterly Revenue&amp;EBITDA'!Z58 - 1, "")</f>
        <v/>
      </c>
      <c r="AA62" s="63" t="str">
        <f>iferror('Quarterly Revenue&amp;EBITDA'!AA62/'Quarterly Revenue&amp;EBITDA'!AA58 - 1, "")</f>
        <v/>
      </c>
      <c r="AB62" s="63" t="str">
        <f>iferror('Quarterly Revenue&amp;EBITDA'!AB62/'Quarterly Revenue&amp;EBITDA'!AB58 - 1, "")</f>
        <v/>
      </c>
      <c r="AC62" s="63" t="str">
        <f>iferror('Quarterly Revenue&amp;EBITDA'!AC62/'Quarterly Revenue&amp;EBITDA'!AC58 - 1, "")</f>
        <v/>
      </c>
      <c r="AD62" s="43"/>
    </row>
    <row r="63">
      <c r="A63" s="42" t="s">
        <v>90</v>
      </c>
      <c r="B63" s="62"/>
      <c r="C63" s="63">
        <f>iferror('Quarterly Revenue&amp;EBITDA'!C63/'Quarterly Revenue&amp;EBITDA'!C59 - 1, "")</f>
        <v>0.2078574528</v>
      </c>
      <c r="D63" s="63">
        <f>iferror('Quarterly Revenue&amp;EBITDA'!D63/'Quarterly Revenue&amp;EBITDA'!D59 - 1, "")</f>
        <v>0.1685521841</v>
      </c>
      <c r="E63" s="63">
        <f>iferror('Quarterly Revenue&amp;EBITDA'!E63/'Quarterly Revenue&amp;EBITDA'!E59 - 1, "")</f>
        <v>0.1883660951</v>
      </c>
      <c r="F63" s="63">
        <f>iferror('Quarterly Revenue&amp;EBITDA'!F63/'Quarterly Revenue&amp;EBITDA'!F59 - 1, "")</f>
        <v>0.1976837456</v>
      </c>
      <c r="G63" s="63" t="str">
        <f>iferror('Quarterly Revenue&amp;EBITDA'!G63/'Quarterly Revenue&amp;EBITDA'!G59 - 1, "")</f>
        <v/>
      </c>
      <c r="H63" s="63" t="str">
        <f>iferror('Quarterly Revenue&amp;EBITDA'!H63/'Quarterly Revenue&amp;EBITDA'!H59 - 1, "")</f>
        <v/>
      </c>
      <c r="I63" s="63" t="str">
        <f>iferror('Quarterly Revenue&amp;EBITDA'!I63/'Quarterly Revenue&amp;EBITDA'!I59 - 1, "")</f>
        <v/>
      </c>
      <c r="J63" s="63">
        <f>iferror('Quarterly Revenue&amp;EBITDA'!J63/'Quarterly Revenue&amp;EBITDA'!J59 - 1, "")</f>
        <v>0.5763103246</v>
      </c>
      <c r="K63" s="63" t="str">
        <f>iferror('Quarterly Revenue&amp;EBITDA'!K63/'Quarterly Revenue&amp;EBITDA'!K59 - 1, "")</f>
        <v/>
      </c>
      <c r="L63" s="63">
        <f>iferror('Quarterly Revenue&amp;EBITDA'!L63/'Quarterly Revenue&amp;EBITDA'!L59 - 1, "")</f>
        <v>0.1448835061</v>
      </c>
      <c r="M63" s="63" t="str">
        <f>iferror('Quarterly Revenue&amp;EBITDA'!M63/'Quarterly Revenue&amp;EBITDA'!M59 - 1, "")</f>
        <v/>
      </c>
      <c r="N63" s="63" t="str">
        <f>iferror('Quarterly Revenue&amp;EBITDA'!N63/'Quarterly Revenue&amp;EBITDA'!N59 - 1, "")</f>
        <v/>
      </c>
      <c r="O63" s="63">
        <f>iferror('Quarterly Revenue&amp;EBITDA'!O63/'Quarterly Revenue&amp;EBITDA'!O59 - 1, "")</f>
        <v>0.256682205</v>
      </c>
      <c r="P63" s="63" t="str">
        <f>iferror('Quarterly Revenue&amp;EBITDA'!P63/'Quarterly Revenue&amp;EBITDA'!P59 - 1, "")</f>
        <v/>
      </c>
      <c r="Q63" s="63" t="str">
        <f>iferror('Quarterly Revenue&amp;EBITDA'!Q63/'Quarterly Revenue&amp;EBITDA'!Q59 - 1, "")</f>
        <v/>
      </c>
      <c r="R63" s="63"/>
      <c r="S63" s="63" t="str">
        <f>iferror('Quarterly Revenue&amp;EBITDA'!S63/'Quarterly Revenue&amp;EBITDA'!S59 - 1, "")</f>
        <v/>
      </c>
      <c r="T63" s="63" t="str">
        <f>iferror('Quarterly Revenue&amp;EBITDA'!T63/'Quarterly Revenue&amp;EBITDA'!T59 - 1, "")</f>
        <v/>
      </c>
      <c r="U63" s="63" t="str">
        <f>iferror('Quarterly Revenue&amp;EBITDA'!U63/'Quarterly Revenue&amp;EBITDA'!U59 - 1, "")</f>
        <v/>
      </c>
      <c r="V63" s="63">
        <f>iferror('Quarterly Revenue&amp;EBITDA'!V63/'Quarterly Revenue&amp;EBITDA'!V59 - 1, "")</f>
        <v>0.01429633807</v>
      </c>
      <c r="W63" s="62"/>
      <c r="X63" s="63">
        <f>iferror('Quarterly Revenue&amp;EBITDA'!X63/'Quarterly Revenue&amp;EBITDA'!X59 - 1, "")</f>
        <v>0.03566101744</v>
      </c>
      <c r="Y63" s="63" t="str">
        <f>iferror('Quarterly Revenue&amp;EBITDA'!Y63/'Quarterly Revenue&amp;EBITDA'!Y59 - 1, "")</f>
        <v/>
      </c>
      <c r="Z63" s="63" t="str">
        <f>iferror('Quarterly Revenue&amp;EBITDA'!Z63/'Quarterly Revenue&amp;EBITDA'!Z59 - 1, "")</f>
        <v/>
      </c>
      <c r="AA63" s="63" t="str">
        <f>iferror('Quarterly Revenue&amp;EBITDA'!AA63/'Quarterly Revenue&amp;EBITDA'!AA59 - 1, "")</f>
        <v/>
      </c>
      <c r="AB63" s="63" t="str">
        <f>iferror('Quarterly Revenue&amp;EBITDA'!AB63/'Quarterly Revenue&amp;EBITDA'!AB59 - 1, "")</f>
        <v/>
      </c>
      <c r="AC63" s="63" t="str">
        <f>iferror('Quarterly Revenue&amp;EBITDA'!AC63/'Quarterly Revenue&amp;EBITDA'!AC59 - 1, "")</f>
        <v/>
      </c>
      <c r="AD63" s="43"/>
    </row>
    <row r="64">
      <c r="A64" s="42" t="s">
        <v>91</v>
      </c>
      <c r="B64" s="62"/>
      <c r="C64" s="63">
        <f>iferror('Quarterly Revenue&amp;EBITDA'!C64/'Quarterly Revenue&amp;EBITDA'!C60 - 1, "")</f>
        <v>0.2078574528</v>
      </c>
      <c r="D64" s="63">
        <f>iferror('Quarterly Revenue&amp;EBITDA'!D64/'Quarterly Revenue&amp;EBITDA'!D60 - 1, "")</f>
        <v>0.1685521841</v>
      </c>
      <c r="E64" s="63">
        <f>iferror('Quarterly Revenue&amp;EBITDA'!E64/'Quarterly Revenue&amp;EBITDA'!E60 - 1, "")</f>
        <v>0.1883660951</v>
      </c>
      <c r="F64" s="63">
        <f>iferror('Quarterly Revenue&amp;EBITDA'!F64/'Quarterly Revenue&amp;EBITDA'!F60 - 1, "")</f>
        <v>0.1976837456</v>
      </c>
      <c r="G64" s="63" t="str">
        <f>iferror('Quarterly Revenue&amp;EBITDA'!G64/'Quarterly Revenue&amp;EBITDA'!G60 - 1, "")</f>
        <v/>
      </c>
      <c r="H64" s="63">
        <f>iferror('Quarterly Revenue&amp;EBITDA'!H64/'Quarterly Revenue&amp;EBITDA'!H60 - 1, "")</f>
        <v>0.08552301285</v>
      </c>
      <c r="I64" s="63" t="str">
        <f>iferror('Quarterly Revenue&amp;EBITDA'!I64/'Quarterly Revenue&amp;EBITDA'!I60 - 1, "")</f>
        <v/>
      </c>
      <c r="J64" s="63">
        <f>iferror('Quarterly Revenue&amp;EBITDA'!J64/'Quarterly Revenue&amp;EBITDA'!J60 - 1, "")</f>
        <v>0.1639021562</v>
      </c>
      <c r="K64" s="63" t="str">
        <f>iferror('Quarterly Revenue&amp;EBITDA'!K64/'Quarterly Revenue&amp;EBITDA'!K60 - 1, "")</f>
        <v/>
      </c>
      <c r="L64" s="63">
        <f>iferror('Quarterly Revenue&amp;EBITDA'!L64/'Quarterly Revenue&amp;EBITDA'!L60 - 1, "")</f>
        <v>0.1448835061</v>
      </c>
      <c r="M64" s="63" t="str">
        <f>iferror('Quarterly Revenue&amp;EBITDA'!M64/'Quarterly Revenue&amp;EBITDA'!M60 - 1, "")</f>
        <v/>
      </c>
      <c r="N64" s="63" t="str">
        <f>iferror('Quarterly Revenue&amp;EBITDA'!N64/'Quarterly Revenue&amp;EBITDA'!N60 - 1, "")</f>
        <v/>
      </c>
      <c r="O64" s="63">
        <f>iferror('Quarterly Revenue&amp;EBITDA'!O64/'Quarterly Revenue&amp;EBITDA'!O60 - 1, "")</f>
        <v>0.256682205</v>
      </c>
      <c r="P64" s="63" t="str">
        <f>iferror('Quarterly Revenue&amp;EBITDA'!P64/'Quarterly Revenue&amp;EBITDA'!P60 - 1, "")</f>
        <v/>
      </c>
      <c r="Q64" s="63" t="str">
        <f>iferror('Quarterly Revenue&amp;EBITDA'!Q64/'Quarterly Revenue&amp;EBITDA'!Q60 - 1, "")</f>
        <v/>
      </c>
      <c r="R64" s="63"/>
      <c r="S64" s="63" t="str">
        <f>iferror('Quarterly Revenue&amp;EBITDA'!S64/'Quarterly Revenue&amp;EBITDA'!S60 - 1, "")</f>
        <v/>
      </c>
      <c r="T64" s="63" t="str">
        <f>iferror('Quarterly Revenue&amp;EBITDA'!T64/'Quarterly Revenue&amp;EBITDA'!T60 - 1, "")</f>
        <v/>
      </c>
      <c r="U64" s="63" t="str">
        <f>iferror('Quarterly Revenue&amp;EBITDA'!U64/'Quarterly Revenue&amp;EBITDA'!U60 - 1, "")</f>
        <v/>
      </c>
      <c r="V64" s="63">
        <f>iferror('Quarterly Revenue&amp;EBITDA'!V64/'Quarterly Revenue&amp;EBITDA'!V60 - 1, "")</f>
        <v>0.01429633807</v>
      </c>
      <c r="W64" s="62"/>
      <c r="X64" s="63">
        <f>iferror('Quarterly Revenue&amp;EBITDA'!X64/'Quarterly Revenue&amp;EBITDA'!X60 - 1, "")</f>
        <v>0.03566101744</v>
      </c>
      <c r="Y64" s="63" t="str">
        <f>iferror('Quarterly Revenue&amp;EBITDA'!Y64/'Quarterly Revenue&amp;EBITDA'!Y60 - 1, "")</f>
        <v/>
      </c>
      <c r="Z64" s="63" t="str">
        <f>iferror('Quarterly Revenue&amp;EBITDA'!Z64/'Quarterly Revenue&amp;EBITDA'!Z60 - 1, "")</f>
        <v/>
      </c>
      <c r="AA64" s="63" t="str">
        <f>iferror('Quarterly Revenue&amp;EBITDA'!AA64/'Quarterly Revenue&amp;EBITDA'!AA60 - 1, "")</f>
        <v/>
      </c>
      <c r="AB64" s="63" t="str">
        <f>iferror('Quarterly Revenue&amp;EBITDA'!AB64/'Quarterly Revenue&amp;EBITDA'!AB60 - 1, "")</f>
        <v/>
      </c>
      <c r="AC64" s="63" t="str">
        <f>iferror('Quarterly Revenue&amp;EBITDA'!AC64/'Quarterly Revenue&amp;EBITDA'!AC60 - 1, "")</f>
        <v/>
      </c>
      <c r="AD64" s="43"/>
    </row>
    <row r="65">
      <c r="A65" s="42" t="s">
        <v>92</v>
      </c>
      <c r="B65" s="62"/>
      <c r="C65" s="63">
        <f>iferror('Quarterly Revenue&amp;EBITDA'!C65/'Quarterly Revenue&amp;EBITDA'!C61 - 1, "")</f>
        <v>0.2078574528</v>
      </c>
      <c r="D65" s="63">
        <f>iferror('Quarterly Revenue&amp;EBITDA'!D65/'Quarterly Revenue&amp;EBITDA'!D61 - 1, "")</f>
        <v>0.1685521841</v>
      </c>
      <c r="E65" s="63">
        <f>iferror('Quarterly Revenue&amp;EBITDA'!E65/'Quarterly Revenue&amp;EBITDA'!E61 - 1, "")</f>
        <v>0.1883660951</v>
      </c>
      <c r="F65" s="63">
        <f>iferror('Quarterly Revenue&amp;EBITDA'!F65/'Quarterly Revenue&amp;EBITDA'!F61 - 1, "")</f>
        <v>0.1976837456</v>
      </c>
      <c r="G65" s="63" t="str">
        <f>iferror('Quarterly Revenue&amp;EBITDA'!G65/'Quarterly Revenue&amp;EBITDA'!G61 - 1, "")</f>
        <v/>
      </c>
      <c r="H65" s="63">
        <f>iferror('Quarterly Revenue&amp;EBITDA'!H65/'Quarterly Revenue&amp;EBITDA'!H61 - 1, "")</f>
        <v>0.08552301285</v>
      </c>
      <c r="I65" s="63" t="str">
        <f>iferror('Quarterly Revenue&amp;EBITDA'!I65/'Quarterly Revenue&amp;EBITDA'!I61 - 1, "")</f>
        <v/>
      </c>
      <c r="J65" s="63">
        <f>iferror('Quarterly Revenue&amp;EBITDA'!J65/'Quarterly Revenue&amp;EBITDA'!J61 - 1, "")</f>
        <v>0.1639021562</v>
      </c>
      <c r="K65" s="63" t="str">
        <f>iferror('Quarterly Revenue&amp;EBITDA'!K65/'Quarterly Revenue&amp;EBITDA'!K61 - 1, "")</f>
        <v/>
      </c>
      <c r="L65" s="63">
        <f>iferror('Quarterly Revenue&amp;EBITDA'!L65/'Quarterly Revenue&amp;EBITDA'!L61 - 1, "")</f>
        <v>0.1448835061</v>
      </c>
      <c r="M65" s="63" t="str">
        <f>iferror('Quarterly Revenue&amp;EBITDA'!M65/'Quarterly Revenue&amp;EBITDA'!M61 - 1, "")</f>
        <v/>
      </c>
      <c r="N65" s="63" t="str">
        <f>iferror('Quarterly Revenue&amp;EBITDA'!N65/'Quarterly Revenue&amp;EBITDA'!N61 - 1, "")</f>
        <v/>
      </c>
      <c r="O65" s="63">
        <f>iferror('Quarterly Revenue&amp;EBITDA'!O65/'Quarterly Revenue&amp;EBITDA'!O61 - 1, "")</f>
        <v>0.1759911519</v>
      </c>
      <c r="P65" s="63" t="str">
        <f>iferror('Quarterly Revenue&amp;EBITDA'!P65/'Quarterly Revenue&amp;EBITDA'!P61 - 1, "")</f>
        <v/>
      </c>
      <c r="Q65" s="63" t="str">
        <f>iferror('Quarterly Revenue&amp;EBITDA'!Q65/'Quarterly Revenue&amp;EBITDA'!Q61 - 1, "")</f>
        <v/>
      </c>
      <c r="R65" s="63"/>
      <c r="S65" s="63" t="str">
        <f>iferror('Quarterly Revenue&amp;EBITDA'!S65/'Quarterly Revenue&amp;EBITDA'!S61 - 1, "")</f>
        <v/>
      </c>
      <c r="T65" s="63" t="str">
        <f>iferror('Quarterly Revenue&amp;EBITDA'!T65/'Quarterly Revenue&amp;EBITDA'!T61 - 1, "")</f>
        <v/>
      </c>
      <c r="U65" s="63" t="str">
        <f>iferror('Quarterly Revenue&amp;EBITDA'!U65/'Quarterly Revenue&amp;EBITDA'!U61 - 1, "")</f>
        <v/>
      </c>
      <c r="V65" s="63">
        <f>iferror('Quarterly Revenue&amp;EBITDA'!V65/'Quarterly Revenue&amp;EBITDA'!V61 - 1, "")</f>
        <v>0.01429633807</v>
      </c>
      <c r="W65" s="62"/>
      <c r="X65" s="63">
        <f>iferror('Quarterly Revenue&amp;EBITDA'!X65/'Quarterly Revenue&amp;EBITDA'!X61 - 1, "")</f>
        <v>-0.1081036021</v>
      </c>
      <c r="Y65" s="63" t="str">
        <f>iferror('Quarterly Revenue&amp;EBITDA'!Y65/'Quarterly Revenue&amp;EBITDA'!Y61 - 1, "")</f>
        <v/>
      </c>
      <c r="Z65" s="63" t="str">
        <f>iferror('Quarterly Revenue&amp;EBITDA'!Z65/'Quarterly Revenue&amp;EBITDA'!Z61 - 1, "")</f>
        <v/>
      </c>
      <c r="AA65" s="63" t="str">
        <f>iferror('Quarterly Revenue&amp;EBITDA'!AA65/'Quarterly Revenue&amp;EBITDA'!AA61 - 1, "")</f>
        <v/>
      </c>
      <c r="AB65" s="63" t="str">
        <f>iferror('Quarterly Revenue&amp;EBITDA'!AB65/'Quarterly Revenue&amp;EBITDA'!AB61 - 1, "")</f>
        <v/>
      </c>
      <c r="AC65" s="63" t="str">
        <f>iferror('Quarterly Revenue&amp;EBITDA'!AC65/'Quarterly Revenue&amp;EBITDA'!AC61 - 1, "")</f>
        <v/>
      </c>
      <c r="AD65" s="43"/>
    </row>
    <row r="66">
      <c r="A66" s="42" t="s">
        <v>93</v>
      </c>
      <c r="B66" s="62"/>
      <c r="C66" s="63">
        <f>iferror('Quarterly Revenue&amp;EBITDA'!C66/'Quarterly Revenue&amp;EBITDA'!C62 - 1, "")</f>
        <v>0.2078574528</v>
      </c>
      <c r="D66" s="63">
        <f>iferror('Quarterly Revenue&amp;EBITDA'!D66/'Quarterly Revenue&amp;EBITDA'!D62 - 1, "")</f>
        <v>0.1685521841</v>
      </c>
      <c r="E66" s="63">
        <f>iferror('Quarterly Revenue&amp;EBITDA'!E66/'Quarterly Revenue&amp;EBITDA'!E62 - 1, "")</f>
        <v>0.1883660951</v>
      </c>
      <c r="F66" s="63">
        <f>iferror('Quarterly Revenue&amp;EBITDA'!F66/'Quarterly Revenue&amp;EBITDA'!F62 - 1, "")</f>
        <v>0.1976837456</v>
      </c>
      <c r="G66" s="63" t="str">
        <f>iferror('Quarterly Revenue&amp;EBITDA'!G66/'Quarterly Revenue&amp;EBITDA'!G62 - 1, "")</f>
        <v/>
      </c>
      <c r="H66" s="63">
        <f>iferror('Quarterly Revenue&amp;EBITDA'!H66/'Quarterly Revenue&amp;EBITDA'!H62 - 1, "")</f>
        <v>0.08552301285</v>
      </c>
      <c r="I66" s="63" t="str">
        <f>iferror('Quarterly Revenue&amp;EBITDA'!I66/'Quarterly Revenue&amp;EBITDA'!I62 - 1, "")</f>
        <v/>
      </c>
      <c r="J66" s="63">
        <f>iferror('Quarterly Revenue&amp;EBITDA'!J66/'Quarterly Revenue&amp;EBITDA'!J62 - 1, "")</f>
        <v>0.1639021562</v>
      </c>
      <c r="K66" s="63" t="str">
        <f>iferror('Quarterly Revenue&amp;EBITDA'!K66/'Quarterly Revenue&amp;EBITDA'!K62 - 1, "")</f>
        <v/>
      </c>
      <c r="L66" s="63">
        <f>iferror('Quarterly Revenue&amp;EBITDA'!L66/'Quarterly Revenue&amp;EBITDA'!L62 - 1, "")</f>
        <v>0.1448835061</v>
      </c>
      <c r="M66" s="63" t="str">
        <f>iferror('Quarterly Revenue&amp;EBITDA'!M66/'Quarterly Revenue&amp;EBITDA'!M62 - 1, "")</f>
        <v/>
      </c>
      <c r="N66" s="63" t="str">
        <f>iferror('Quarterly Revenue&amp;EBITDA'!N66/'Quarterly Revenue&amp;EBITDA'!N62 - 1, "")</f>
        <v/>
      </c>
      <c r="O66" s="63">
        <f>iferror('Quarterly Revenue&amp;EBITDA'!O66/'Quarterly Revenue&amp;EBITDA'!O62 - 1, "")</f>
        <v>0.1759911519</v>
      </c>
      <c r="P66" s="63" t="str">
        <f>iferror('Quarterly Revenue&amp;EBITDA'!P66/'Quarterly Revenue&amp;EBITDA'!P62 - 1, "")</f>
        <v/>
      </c>
      <c r="Q66" s="63" t="str">
        <f>iferror('Quarterly Revenue&amp;EBITDA'!Q66/'Quarterly Revenue&amp;EBITDA'!Q62 - 1, "")</f>
        <v/>
      </c>
      <c r="R66" s="63"/>
      <c r="S66" s="63" t="str">
        <f>iferror('Quarterly Revenue&amp;EBITDA'!S66/'Quarterly Revenue&amp;EBITDA'!S62 - 1, "")</f>
        <v/>
      </c>
      <c r="T66" s="63" t="str">
        <f>iferror('Quarterly Revenue&amp;EBITDA'!T66/'Quarterly Revenue&amp;EBITDA'!T62 - 1, "")</f>
        <v/>
      </c>
      <c r="U66" s="63" t="str">
        <f>iferror('Quarterly Revenue&amp;EBITDA'!U66/'Quarterly Revenue&amp;EBITDA'!U62 - 1, "")</f>
        <v/>
      </c>
      <c r="V66" s="63">
        <f>iferror('Quarterly Revenue&amp;EBITDA'!V66/'Quarterly Revenue&amp;EBITDA'!V62 - 1, "")</f>
        <v>0.01429633807</v>
      </c>
      <c r="W66" s="62"/>
      <c r="X66" s="63">
        <f>iferror('Quarterly Revenue&amp;EBITDA'!X66/'Quarterly Revenue&amp;EBITDA'!X62 - 1, "")</f>
        <v>-0.1081036021</v>
      </c>
      <c r="Y66" s="63" t="str">
        <f>iferror('Quarterly Revenue&amp;EBITDA'!Y66/'Quarterly Revenue&amp;EBITDA'!Y62 - 1, "")</f>
        <v/>
      </c>
      <c r="Z66" s="63" t="str">
        <f>iferror('Quarterly Revenue&amp;EBITDA'!Z66/'Quarterly Revenue&amp;EBITDA'!Z62 - 1, "")</f>
        <v/>
      </c>
      <c r="AA66" s="63" t="str">
        <f>iferror('Quarterly Revenue&amp;EBITDA'!AA66/'Quarterly Revenue&amp;EBITDA'!AA62 - 1, "")</f>
        <v/>
      </c>
      <c r="AB66" s="63" t="str">
        <f>iferror('Quarterly Revenue&amp;EBITDA'!AB66/'Quarterly Revenue&amp;EBITDA'!AB62 - 1, "")</f>
        <v/>
      </c>
      <c r="AC66" s="63" t="str">
        <f>iferror('Quarterly Revenue&amp;EBITDA'!AC66/'Quarterly Revenue&amp;EBITDA'!AC62 - 1, "")</f>
        <v/>
      </c>
      <c r="AD66" s="43"/>
    </row>
    <row r="67">
      <c r="A67" s="42" t="s">
        <v>94</v>
      </c>
      <c r="B67" s="62"/>
      <c r="C67" s="63">
        <f>iferror('Quarterly Revenue&amp;EBITDA'!C67/'Quarterly Revenue&amp;EBITDA'!C63 - 1, "")</f>
        <v>0.291268355</v>
      </c>
      <c r="D67" s="63">
        <f>iferror('Quarterly Revenue&amp;EBITDA'!D67/'Quarterly Revenue&amp;EBITDA'!D63 - 1, "")</f>
        <v>0.1838333027</v>
      </c>
      <c r="E67" s="63">
        <f>iferror('Quarterly Revenue&amp;EBITDA'!E67/'Quarterly Revenue&amp;EBITDA'!E63 - 1, "")</f>
        <v>0.33364617</v>
      </c>
      <c r="F67" s="63">
        <f>iferror('Quarterly Revenue&amp;EBITDA'!F67/'Quarterly Revenue&amp;EBITDA'!F63 - 1, "")</f>
        <v>0.2385321101</v>
      </c>
      <c r="G67" s="63" t="str">
        <f>iferror('Quarterly Revenue&amp;EBITDA'!G67/'Quarterly Revenue&amp;EBITDA'!G63 - 1, "")</f>
        <v/>
      </c>
      <c r="H67" s="63">
        <f>iferror('Quarterly Revenue&amp;EBITDA'!H67/'Quarterly Revenue&amp;EBITDA'!H63 - 1, "")</f>
        <v>0.08552301285</v>
      </c>
      <c r="I67" s="63" t="str">
        <f>iferror('Quarterly Revenue&amp;EBITDA'!I67/'Quarterly Revenue&amp;EBITDA'!I63 - 1, "")</f>
        <v/>
      </c>
      <c r="J67" s="63">
        <f>iferror('Quarterly Revenue&amp;EBITDA'!J67/'Quarterly Revenue&amp;EBITDA'!J63 - 1, "")</f>
        <v>0.1639021562</v>
      </c>
      <c r="K67" s="63" t="str">
        <f>iferror('Quarterly Revenue&amp;EBITDA'!K67/'Quarterly Revenue&amp;EBITDA'!K63 - 1, "")</f>
        <v/>
      </c>
      <c r="L67" s="63">
        <f>iferror('Quarterly Revenue&amp;EBITDA'!L67/'Quarterly Revenue&amp;EBITDA'!L63 - 1, "")</f>
        <v>0.1456080899</v>
      </c>
      <c r="M67" s="63" t="str">
        <f>iferror('Quarterly Revenue&amp;EBITDA'!M67/'Quarterly Revenue&amp;EBITDA'!M63 - 1, "")</f>
        <v/>
      </c>
      <c r="N67" s="63" t="str">
        <f>iferror('Quarterly Revenue&amp;EBITDA'!N67/'Quarterly Revenue&amp;EBITDA'!N63 - 1, "")</f>
        <v/>
      </c>
      <c r="O67" s="63">
        <f>iferror('Quarterly Revenue&amp;EBITDA'!O67/'Quarterly Revenue&amp;EBITDA'!O63 - 1, "")</f>
        <v>0.1759911519</v>
      </c>
      <c r="P67" s="63" t="str">
        <f>iferror('Quarterly Revenue&amp;EBITDA'!P67/'Quarterly Revenue&amp;EBITDA'!P63 - 1, "")</f>
        <v/>
      </c>
      <c r="Q67" s="63" t="str">
        <f>iferror('Quarterly Revenue&amp;EBITDA'!Q67/'Quarterly Revenue&amp;EBITDA'!Q63 - 1, "")</f>
        <v/>
      </c>
      <c r="R67" s="63"/>
      <c r="S67" s="63">
        <f>iferror('Quarterly Revenue&amp;EBITDA'!S67/'Quarterly Revenue&amp;EBITDA'!S63 - 1, "")</f>
        <v>0.7163192936</v>
      </c>
      <c r="T67" s="63" t="str">
        <f>iferror('Quarterly Revenue&amp;EBITDA'!T67/'Quarterly Revenue&amp;EBITDA'!T63 - 1, "")</f>
        <v/>
      </c>
      <c r="U67" s="63" t="str">
        <f>iferror('Quarterly Revenue&amp;EBITDA'!U67/'Quarterly Revenue&amp;EBITDA'!U63 - 1, "")</f>
        <v/>
      </c>
      <c r="V67" s="63">
        <f>iferror('Quarterly Revenue&amp;EBITDA'!V67/'Quarterly Revenue&amp;EBITDA'!V63 - 1, "")</f>
        <v>0.08758005948</v>
      </c>
      <c r="W67" s="62"/>
      <c r="X67" s="63">
        <f>iferror('Quarterly Revenue&amp;EBITDA'!X67/'Quarterly Revenue&amp;EBITDA'!X63 - 1, "")</f>
        <v>-0.1081036021</v>
      </c>
      <c r="Y67" s="63" t="str">
        <f>iferror('Quarterly Revenue&amp;EBITDA'!Y67/'Quarterly Revenue&amp;EBITDA'!Y63 - 1, "")</f>
        <v/>
      </c>
      <c r="Z67" s="63" t="str">
        <f>iferror('Quarterly Revenue&amp;EBITDA'!Z67/'Quarterly Revenue&amp;EBITDA'!Z63 - 1, "")</f>
        <v/>
      </c>
      <c r="AA67" s="63" t="str">
        <f>iferror('Quarterly Revenue&amp;EBITDA'!AA67/'Quarterly Revenue&amp;EBITDA'!AA63 - 1, "")</f>
        <v/>
      </c>
      <c r="AB67" s="63" t="str">
        <f>iferror('Quarterly Revenue&amp;EBITDA'!AB67/'Quarterly Revenue&amp;EBITDA'!AB63 - 1, "")</f>
        <v/>
      </c>
      <c r="AC67" s="63" t="str">
        <f>iferror('Quarterly Revenue&amp;EBITDA'!AC67/'Quarterly Revenue&amp;EBITDA'!AC63 - 1, "")</f>
        <v/>
      </c>
      <c r="AD67" s="43"/>
    </row>
    <row r="68">
      <c r="A68" s="42" t="s">
        <v>95</v>
      </c>
      <c r="B68" s="62"/>
      <c r="C68" s="63">
        <f>iferror('Quarterly Revenue&amp;EBITDA'!C68/'Quarterly Revenue&amp;EBITDA'!C64 - 1, "")</f>
        <v>0.291268355</v>
      </c>
      <c r="D68" s="63">
        <f>iferror('Quarterly Revenue&amp;EBITDA'!D68/'Quarterly Revenue&amp;EBITDA'!D64 - 1, "")</f>
        <v>0.1838333027</v>
      </c>
      <c r="E68" s="63">
        <f>iferror('Quarterly Revenue&amp;EBITDA'!E68/'Quarterly Revenue&amp;EBITDA'!E64 - 1, "")</f>
        <v>0.33364617</v>
      </c>
      <c r="F68" s="63">
        <f>iferror('Quarterly Revenue&amp;EBITDA'!F68/'Quarterly Revenue&amp;EBITDA'!F64 - 1, "")</f>
        <v>0.2385321101</v>
      </c>
      <c r="G68" s="63" t="str">
        <f>iferror('Quarterly Revenue&amp;EBITDA'!G68/'Quarterly Revenue&amp;EBITDA'!G64 - 1, "")</f>
        <v/>
      </c>
      <c r="H68" s="63">
        <f>iferror('Quarterly Revenue&amp;EBITDA'!H68/'Quarterly Revenue&amp;EBITDA'!H64 - 1, "")</f>
        <v>0.07538477322</v>
      </c>
      <c r="I68" s="63" t="str">
        <f>iferror('Quarterly Revenue&amp;EBITDA'!I68/'Quarterly Revenue&amp;EBITDA'!I64 - 1, "")</f>
        <v/>
      </c>
      <c r="J68" s="63">
        <f>iferror('Quarterly Revenue&amp;EBITDA'!J68/'Quarterly Revenue&amp;EBITDA'!J64 - 1, "")</f>
        <v>0.1211465681</v>
      </c>
      <c r="K68" s="63" t="str">
        <f>iferror('Quarterly Revenue&amp;EBITDA'!K68/'Quarterly Revenue&amp;EBITDA'!K64 - 1, "")</f>
        <v/>
      </c>
      <c r="L68" s="63">
        <f>iferror('Quarterly Revenue&amp;EBITDA'!L68/'Quarterly Revenue&amp;EBITDA'!L64 - 1, "")</f>
        <v>0.1456080899</v>
      </c>
      <c r="M68" s="63" t="str">
        <f>iferror('Quarterly Revenue&amp;EBITDA'!M68/'Quarterly Revenue&amp;EBITDA'!M64 - 1, "")</f>
        <v/>
      </c>
      <c r="N68" s="63" t="str">
        <f>iferror('Quarterly Revenue&amp;EBITDA'!N68/'Quarterly Revenue&amp;EBITDA'!N64 - 1, "")</f>
        <v/>
      </c>
      <c r="O68" s="63">
        <f>iferror('Quarterly Revenue&amp;EBITDA'!O68/'Quarterly Revenue&amp;EBITDA'!O64 - 1, "")</f>
        <v>0.1759911519</v>
      </c>
      <c r="P68" s="63" t="str">
        <f>iferror('Quarterly Revenue&amp;EBITDA'!P68/'Quarterly Revenue&amp;EBITDA'!P64 - 1, "")</f>
        <v/>
      </c>
      <c r="Q68" s="63" t="str">
        <f>iferror('Quarterly Revenue&amp;EBITDA'!Q68/'Quarterly Revenue&amp;EBITDA'!Q64 - 1, "")</f>
        <v/>
      </c>
      <c r="R68" s="63"/>
      <c r="S68" s="63">
        <f>iferror('Quarterly Revenue&amp;EBITDA'!S68/'Quarterly Revenue&amp;EBITDA'!S64 - 1, "")</f>
        <v>0.7163192936</v>
      </c>
      <c r="T68" s="63" t="str">
        <f>iferror('Quarterly Revenue&amp;EBITDA'!T68/'Quarterly Revenue&amp;EBITDA'!T64 - 1, "")</f>
        <v/>
      </c>
      <c r="U68" s="63" t="str">
        <f>iferror('Quarterly Revenue&amp;EBITDA'!U68/'Quarterly Revenue&amp;EBITDA'!U64 - 1, "")</f>
        <v/>
      </c>
      <c r="V68" s="63">
        <f>iferror('Quarterly Revenue&amp;EBITDA'!V68/'Quarterly Revenue&amp;EBITDA'!V64 - 1, "")</f>
        <v>0.08758005948</v>
      </c>
      <c r="W68" s="62"/>
      <c r="X68" s="63">
        <f>iferror('Quarterly Revenue&amp;EBITDA'!X68/'Quarterly Revenue&amp;EBITDA'!X64 - 1, "")</f>
        <v>-0.1081036021</v>
      </c>
      <c r="Y68" s="63" t="str">
        <f>iferror('Quarterly Revenue&amp;EBITDA'!Y68/'Quarterly Revenue&amp;EBITDA'!Y64 - 1, "")</f>
        <v/>
      </c>
      <c r="Z68" s="63" t="str">
        <f>iferror('Quarterly Revenue&amp;EBITDA'!Z68/'Quarterly Revenue&amp;EBITDA'!Z64 - 1, "")</f>
        <v/>
      </c>
      <c r="AA68" s="63" t="str">
        <f>iferror('Quarterly Revenue&amp;EBITDA'!AA68/'Quarterly Revenue&amp;EBITDA'!AA64 - 1, "")</f>
        <v/>
      </c>
      <c r="AB68" s="63" t="str">
        <f>iferror('Quarterly Revenue&amp;EBITDA'!AB68/'Quarterly Revenue&amp;EBITDA'!AB64 - 1, "")</f>
        <v/>
      </c>
      <c r="AC68" s="63" t="str">
        <f>iferror('Quarterly Revenue&amp;EBITDA'!AC68/'Quarterly Revenue&amp;EBITDA'!AC64 - 1, "")</f>
        <v/>
      </c>
      <c r="AD68" s="43"/>
    </row>
    <row r="69">
      <c r="A69" s="42" t="s">
        <v>96</v>
      </c>
      <c r="B69" s="62"/>
      <c r="C69" s="63">
        <f>iferror('Quarterly Revenue&amp;EBITDA'!C69/'Quarterly Revenue&amp;EBITDA'!C65 - 1, "")</f>
        <v>0.291268355</v>
      </c>
      <c r="D69" s="63">
        <f>iferror('Quarterly Revenue&amp;EBITDA'!D69/'Quarterly Revenue&amp;EBITDA'!D65 - 1, "")</f>
        <v>0.1838333027</v>
      </c>
      <c r="E69" s="63">
        <f>iferror('Quarterly Revenue&amp;EBITDA'!E69/'Quarterly Revenue&amp;EBITDA'!E65 - 1, "")</f>
        <v>0.33364617</v>
      </c>
      <c r="F69" s="63">
        <f>iferror('Quarterly Revenue&amp;EBITDA'!F69/'Quarterly Revenue&amp;EBITDA'!F65 - 1, "")</f>
        <v>0.2385321101</v>
      </c>
      <c r="G69" s="63" t="str">
        <f>iferror('Quarterly Revenue&amp;EBITDA'!G69/'Quarterly Revenue&amp;EBITDA'!G65 - 1, "")</f>
        <v/>
      </c>
      <c r="H69" s="63">
        <f>iferror('Quarterly Revenue&amp;EBITDA'!H69/'Quarterly Revenue&amp;EBITDA'!H65 - 1, "")</f>
        <v>0.07538477322</v>
      </c>
      <c r="I69" s="63" t="str">
        <f>iferror('Quarterly Revenue&amp;EBITDA'!I69/'Quarterly Revenue&amp;EBITDA'!I65 - 1, "")</f>
        <v/>
      </c>
      <c r="J69" s="63">
        <f>iferror('Quarterly Revenue&amp;EBITDA'!J69/'Quarterly Revenue&amp;EBITDA'!J65 - 1, "")</f>
        <v>0.1211465681</v>
      </c>
      <c r="K69" s="63" t="str">
        <f>iferror('Quarterly Revenue&amp;EBITDA'!K69/'Quarterly Revenue&amp;EBITDA'!K65 - 1, "")</f>
        <v/>
      </c>
      <c r="L69" s="63">
        <f>iferror('Quarterly Revenue&amp;EBITDA'!L69/'Quarterly Revenue&amp;EBITDA'!L65 - 1, "")</f>
        <v>0.1456080899</v>
      </c>
      <c r="M69" s="63" t="str">
        <f>iferror('Quarterly Revenue&amp;EBITDA'!M69/'Quarterly Revenue&amp;EBITDA'!M65 - 1, "")</f>
        <v/>
      </c>
      <c r="N69" s="63" t="str">
        <f>iferror('Quarterly Revenue&amp;EBITDA'!N69/'Quarterly Revenue&amp;EBITDA'!N65 - 1, "")</f>
        <v/>
      </c>
      <c r="O69" s="63">
        <f>iferror('Quarterly Revenue&amp;EBITDA'!O69/'Quarterly Revenue&amp;EBITDA'!O65 - 1, "")</f>
        <v>0.3445082691</v>
      </c>
      <c r="P69" s="63" t="str">
        <f>iferror('Quarterly Revenue&amp;EBITDA'!P69/'Quarterly Revenue&amp;EBITDA'!P65 - 1, "")</f>
        <v/>
      </c>
      <c r="Q69" s="63" t="str">
        <f>iferror('Quarterly Revenue&amp;EBITDA'!Q69/'Quarterly Revenue&amp;EBITDA'!Q65 - 1, "")</f>
        <v/>
      </c>
      <c r="R69" s="63"/>
      <c r="S69" s="63">
        <f>iferror('Quarterly Revenue&amp;EBITDA'!S69/'Quarterly Revenue&amp;EBITDA'!S65 - 1, "")</f>
        <v>0.7163192936</v>
      </c>
      <c r="T69" s="63" t="str">
        <f>iferror('Quarterly Revenue&amp;EBITDA'!T69/'Quarterly Revenue&amp;EBITDA'!T65 - 1, "")</f>
        <v/>
      </c>
      <c r="U69" s="63" t="str">
        <f>iferror('Quarterly Revenue&amp;EBITDA'!U69/'Quarterly Revenue&amp;EBITDA'!U65 - 1, "")</f>
        <v/>
      </c>
      <c r="V69" s="63">
        <f>iferror('Quarterly Revenue&amp;EBITDA'!V69/'Quarterly Revenue&amp;EBITDA'!V65 - 1, "")</f>
        <v>0.08758005948</v>
      </c>
      <c r="W69" s="62"/>
      <c r="X69" s="63">
        <f>iferror('Quarterly Revenue&amp;EBITDA'!X69/'Quarterly Revenue&amp;EBITDA'!X65 - 1, "")</f>
        <v>0.1537208786</v>
      </c>
      <c r="Y69" s="63" t="str">
        <f>iferror('Quarterly Revenue&amp;EBITDA'!Y69/'Quarterly Revenue&amp;EBITDA'!Y65 - 1, "")</f>
        <v/>
      </c>
      <c r="Z69" s="63" t="str">
        <f>iferror('Quarterly Revenue&amp;EBITDA'!Z69/'Quarterly Revenue&amp;EBITDA'!Z65 - 1, "")</f>
        <v/>
      </c>
      <c r="AA69" s="63" t="str">
        <f>iferror('Quarterly Revenue&amp;EBITDA'!AA69/'Quarterly Revenue&amp;EBITDA'!AA65 - 1, "")</f>
        <v/>
      </c>
      <c r="AB69" s="63" t="str">
        <f>iferror('Quarterly Revenue&amp;EBITDA'!AB69/'Quarterly Revenue&amp;EBITDA'!AB65 - 1, "")</f>
        <v/>
      </c>
      <c r="AC69" s="63" t="str">
        <f>iferror('Quarterly Revenue&amp;EBITDA'!AC69/'Quarterly Revenue&amp;EBITDA'!AC65 - 1, "")</f>
        <v/>
      </c>
      <c r="AD69" s="43"/>
    </row>
    <row r="70">
      <c r="A70" s="42" t="s">
        <v>97</v>
      </c>
      <c r="B70" s="62"/>
      <c r="C70" s="63">
        <f>iferror('Quarterly Revenue&amp;EBITDA'!C70/'Quarterly Revenue&amp;EBITDA'!C66 - 1, "")</f>
        <v>0.291268355</v>
      </c>
      <c r="D70" s="63">
        <f>iferror('Quarterly Revenue&amp;EBITDA'!D70/'Quarterly Revenue&amp;EBITDA'!D66 - 1, "")</f>
        <v>0.1838333027</v>
      </c>
      <c r="E70" s="63">
        <f>iferror('Quarterly Revenue&amp;EBITDA'!E70/'Quarterly Revenue&amp;EBITDA'!E66 - 1, "")</f>
        <v>0.33364617</v>
      </c>
      <c r="F70" s="63">
        <f>iferror('Quarterly Revenue&amp;EBITDA'!F70/'Quarterly Revenue&amp;EBITDA'!F66 - 1, "")</f>
        <v>0.2385321101</v>
      </c>
      <c r="G70" s="63" t="str">
        <f>iferror('Quarterly Revenue&amp;EBITDA'!G70/'Quarterly Revenue&amp;EBITDA'!G66 - 1, "")</f>
        <v/>
      </c>
      <c r="H70" s="63">
        <f>iferror('Quarterly Revenue&amp;EBITDA'!H70/'Quarterly Revenue&amp;EBITDA'!H66 - 1, "")</f>
        <v>0.07538477322</v>
      </c>
      <c r="I70" s="63" t="str">
        <f>iferror('Quarterly Revenue&amp;EBITDA'!I70/'Quarterly Revenue&amp;EBITDA'!I66 - 1, "")</f>
        <v/>
      </c>
      <c r="J70" s="63">
        <f>iferror('Quarterly Revenue&amp;EBITDA'!J70/'Quarterly Revenue&amp;EBITDA'!J66 - 1, "")</f>
        <v>0.1211465681</v>
      </c>
      <c r="K70" s="63" t="str">
        <f>iferror('Quarterly Revenue&amp;EBITDA'!K70/'Quarterly Revenue&amp;EBITDA'!K66 - 1, "")</f>
        <v/>
      </c>
      <c r="L70" s="63">
        <f>iferror('Quarterly Revenue&amp;EBITDA'!L70/'Quarterly Revenue&amp;EBITDA'!L66 - 1, "")</f>
        <v>0.1456080899</v>
      </c>
      <c r="M70" s="63" t="str">
        <f>iferror('Quarterly Revenue&amp;EBITDA'!M70/'Quarterly Revenue&amp;EBITDA'!M66 - 1, "")</f>
        <v/>
      </c>
      <c r="N70" s="63" t="str">
        <f>iferror('Quarterly Revenue&amp;EBITDA'!N70/'Quarterly Revenue&amp;EBITDA'!N66 - 1, "")</f>
        <v/>
      </c>
      <c r="O70" s="63">
        <f>iferror('Quarterly Revenue&amp;EBITDA'!O70/'Quarterly Revenue&amp;EBITDA'!O66 - 1, "")</f>
        <v>0.3445082691</v>
      </c>
      <c r="P70" s="63" t="str">
        <f>iferror('Quarterly Revenue&amp;EBITDA'!P70/'Quarterly Revenue&amp;EBITDA'!P66 - 1, "")</f>
        <v/>
      </c>
      <c r="Q70" s="63" t="str">
        <f>iferror('Quarterly Revenue&amp;EBITDA'!Q70/'Quarterly Revenue&amp;EBITDA'!Q66 - 1, "")</f>
        <v/>
      </c>
      <c r="R70" s="63"/>
      <c r="S70" s="63">
        <f>iferror('Quarterly Revenue&amp;EBITDA'!S70/'Quarterly Revenue&amp;EBITDA'!S66 - 1, "")</f>
        <v>0.7163192936</v>
      </c>
      <c r="T70" s="63" t="str">
        <f>iferror('Quarterly Revenue&amp;EBITDA'!T70/'Quarterly Revenue&amp;EBITDA'!T66 - 1, "")</f>
        <v/>
      </c>
      <c r="U70" s="63" t="str">
        <f>iferror('Quarterly Revenue&amp;EBITDA'!U70/'Quarterly Revenue&amp;EBITDA'!U66 - 1, "")</f>
        <v/>
      </c>
      <c r="V70" s="63">
        <f>iferror('Quarterly Revenue&amp;EBITDA'!V70/'Quarterly Revenue&amp;EBITDA'!V66 - 1, "")</f>
        <v>0.08758005948</v>
      </c>
      <c r="W70" s="62"/>
      <c r="X70" s="63">
        <f>iferror('Quarterly Revenue&amp;EBITDA'!X70/'Quarterly Revenue&amp;EBITDA'!X66 - 1, "")</f>
        <v>0.1537208786</v>
      </c>
      <c r="Y70" s="63" t="str">
        <f>iferror('Quarterly Revenue&amp;EBITDA'!Y70/'Quarterly Revenue&amp;EBITDA'!Y66 - 1, "")</f>
        <v/>
      </c>
      <c r="Z70" s="63" t="str">
        <f>iferror('Quarterly Revenue&amp;EBITDA'!Z70/'Quarterly Revenue&amp;EBITDA'!Z66 - 1, "")</f>
        <v/>
      </c>
      <c r="AA70" s="63" t="str">
        <f>iferror('Quarterly Revenue&amp;EBITDA'!AA70/'Quarterly Revenue&amp;EBITDA'!AA66 - 1, "")</f>
        <v/>
      </c>
      <c r="AB70" s="63" t="str">
        <f>iferror('Quarterly Revenue&amp;EBITDA'!AB70/'Quarterly Revenue&amp;EBITDA'!AB66 - 1, "")</f>
        <v/>
      </c>
      <c r="AC70" s="63" t="str">
        <f>iferror('Quarterly Revenue&amp;EBITDA'!AC70/'Quarterly Revenue&amp;EBITDA'!AC66 - 1, "")</f>
        <v/>
      </c>
      <c r="AD70" s="43"/>
    </row>
    <row r="71">
      <c r="A71" s="42" t="s">
        <v>98</v>
      </c>
      <c r="B71" s="62"/>
      <c r="C71" s="63">
        <f>iferror('Quarterly Revenue&amp;EBITDA'!C71/'Quarterly Revenue&amp;EBITDA'!C67 - 1, "")</f>
        <v>0.2426896418</v>
      </c>
      <c r="D71" s="63">
        <f>iferror('Quarterly Revenue&amp;EBITDA'!D71/'Quarterly Revenue&amp;EBITDA'!D67 - 1, "")</f>
        <v>0.2079589475</v>
      </c>
      <c r="E71" s="63">
        <f>iferror('Quarterly Revenue&amp;EBITDA'!E71/'Quarterly Revenue&amp;EBITDA'!E67 - 1, "")</f>
        <v>0.3202101036</v>
      </c>
      <c r="F71" s="63">
        <f>iferror('Quarterly Revenue&amp;EBITDA'!F71/'Quarterly Revenue&amp;EBITDA'!F67 - 1, "")</f>
        <v>0.3185185185</v>
      </c>
      <c r="G71" s="63" t="str">
        <f>iferror('Quarterly Revenue&amp;EBITDA'!G71/'Quarterly Revenue&amp;EBITDA'!G67 - 1, "")</f>
        <v/>
      </c>
      <c r="H71" s="63">
        <f>iferror('Quarterly Revenue&amp;EBITDA'!H71/'Quarterly Revenue&amp;EBITDA'!H67 - 1, "")</f>
        <v>0.07538477322</v>
      </c>
      <c r="I71" s="63" t="str">
        <f>iferror('Quarterly Revenue&amp;EBITDA'!I71/'Quarterly Revenue&amp;EBITDA'!I67 - 1, "")</f>
        <v/>
      </c>
      <c r="J71" s="63">
        <f>iferror('Quarterly Revenue&amp;EBITDA'!J71/'Quarterly Revenue&amp;EBITDA'!J67 - 1, "")</f>
        <v>0.1211465681</v>
      </c>
      <c r="K71" s="63" t="str">
        <f>iferror('Quarterly Revenue&amp;EBITDA'!K71/'Quarterly Revenue&amp;EBITDA'!K67 - 1, "")</f>
        <v/>
      </c>
      <c r="L71" s="63">
        <f>iferror('Quarterly Revenue&amp;EBITDA'!L71/'Quarterly Revenue&amp;EBITDA'!L67 - 1, "")</f>
        <v>0.2210249267</v>
      </c>
      <c r="M71" s="63" t="str">
        <f>iferror('Quarterly Revenue&amp;EBITDA'!M71/'Quarterly Revenue&amp;EBITDA'!M67 - 1, "")</f>
        <v/>
      </c>
      <c r="N71" s="63" t="str">
        <f>iferror('Quarterly Revenue&amp;EBITDA'!N71/'Quarterly Revenue&amp;EBITDA'!N67 - 1, "")</f>
        <v/>
      </c>
      <c r="O71" s="63">
        <f>iferror('Quarterly Revenue&amp;EBITDA'!O71/'Quarterly Revenue&amp;EBITDA'!O67 - 1, "")</f>
        <v>0.3445082691</v>
      </c>
      <c r="P71" s="63" t="str">
        <f>iferror('Quarterly Revenue&amp;EBITDA'!P71/'Quarterly Revenue&amp;EBITDA'!P67 - 1, "")</f>
        <v/>
      </c>
      <c r="Q71" s="63" t="str">
        <f>iferror('Quarterly Revenue&amp;EBITDA'!Q71/'Quarterly Revenue&amp;EBITDA'!Q67 - 1, "")</f>
        <v/>
      </c>
      <c r="R71" s="63"/>
      <c r="S71" s="63">
        <f>iferror('Quarterly Revenue&amp;EBITDA'!S71/'Quarterly Revenue&amp;EBITDA'!S67 - 1, "")</f>
        <v>0.05047002937</v>
      </c>
      <c r="T71" s="63" t="str">
        <f>iferror('Quarterly Revenue&amp;EBITDA'!T71/'Quarterly Revenue&amp;EBITDA'!T67 - 1, "")</f>
        <v/>
      </c>
      <c r="U71" s="63" t="str">
        <f>iferror('Quarterly Revenue&amp;EBITDA'!U71/'Quarterly Revenue&amp;EBITDA'!U67 - 1, "")</f>
        <v/>
      </c>
      <c r="V71" s="63">
        <f>iferror('Quarterly Revenue&amp;EBITDA'!V71/'Quarterly Revenue&amp;EBITDA'!V67 - 1, "")</f>
        <v>0.1003585584</v>
      </c>
      <c r="W71" s="62"/>
      <c r="X71" s="63">
        <f>iferror('Quarterly Revenue&amp;EBITDA'!X71/'Quarterly Revenue&amp;EBITDA'!X67 - 1, "")</f>
        <v>0.1537208786</v>
      </c>
      <c r="Y71" s="63">
        <f>iferror('Quarterly Revenue&amp;EBITDA'!Y71/'Quarterly Revenue&amp;EBITDA'!Y67 - 1, "")</f>
        <v>0.2960921086</v>
      </c>
      <c r="Z71" s="63" t="str">
        <f>iferror('Quarterly Revenue&amp;EBITDA'!Z71/'Quarterly Revenue&amp;EBITDA'!Z67 - 1, "")</f>
        <v/>
      </c>
      <c r="AA71" s="63" t="str">
        <f>iferror('Quarterly Revenue&amp;EBITDA'!AA71/'Quarterly Revenue&amp;EBITDA'!AA67 - 1, "")</f>
        <v/>
      </c>
      <c r="AB71" s="63" t="str">
        <f>iferror('Quarterly Revenue&amp;EBITDA'!AB71/'Quarterly Revenue&amp;EBITDA'!AB67 - 1, "")</f>
        <v/>
      </c>
      <c r="AC71" s="63" t="str">
        <f>iferror('Quarterly Revenue&amp;EBITDA'!AC71/'Quarterly Revenue&amp;EBITDA'!AC67 - 1, "")</f>
        <v/>
      </c>
      <c r="AD71" s="43"/>
    </row>
    <row r="72">
      <c r="A72" s="42" t="s">
        <v>99</v>
      </c>
      <c r="B72" s="62"/>
      <c r="C72" s="63">
        <f>iferror('Quarterly Revenue&amp;EBITDA'!C72/'Quarterly Revenue&amp;EBITDA'!C68 - 1, "")</f>
        <v>0.2426896418</v>
      </c>
      <c r="D72" s="63">
        <f>iferror('Quarterly Revenue&amp;EBITDA'!D72/'Quarterly Revenue&amp;EBITDA'!D68 - 1, "")</f>
        <v>0.2079589475</v>
      </c>
      <c r="E72" s="63">
        <f>iferror('Quarterly Revenue&amp;EBITDA'!E72/'Quarterly Revenue&amp;EBITDA'!E68 - 1, "")</f>
        <v>0.3202101036</v>
      </c>
      <c r="F72" s="63">
        <f>iferror('Quarterly Revenue&amp;EBITDA'!F72/'Quarterly Revenue&amp;EBITDA'!F68 - 1, "")</f>
        <v>0.3185185185</v>
      </c>
      <c r="G72" s="63" t="str">
        <f>iferror('Quarterly Revenue&amp;EBITDA'!G72/'Quarterly Revenue&amp;EBITDA'!G68 - 1, "")</f>
        <v/>
      </c>
      <c r="H72" s="63">
        <f>iferror('Quarterly Revenue&amp;EBITDA'!H72/'Quarterly Revenue&amp;EBITDA'!H68 - 1, "")</f>
        <v>-0.7653001269</v>
      </c>
      <c r="I72" s="63" t="str">
        <f>iferror('Quarterly Revenue&amp;EBITDA'!I72/'Quarterly Revenue&amp;EBITDA'!I68 - 1, "")</f>
        <v/>
      </c>
      <c r="J72" s="63">
        <f>iferror('Quarterly Revenue&amp;EBITDA'!J72/'Quarterly Revenue&amp;EBITDA'!J68 - 1, "")</f>
        <v>0.1714020652</v>
      </c>
      <c r="K72" s="63" t="str">
        <f>iferror('Quarterly Revenue&amp;EBITDA'!K72/'Quarterly Revenue&amp;EBITDA'!K68 - 1, "")</f>
        <v/>
      </c>
      <c r="L72" s="63">
        <f>iferror('Quarterly Revenue&amp;EBITDA'!L72/'Quarterly Revenue&amp;EBITDA'!L68 - 1, "")</f>
        <v>0.2210249267</v>
      </c>
      <c r="M72" s="63" t="str">
        <f>iferror('Quarterly Revenue&amp;EBITDA'!M72/'Quarterly Revenue&amp;EBITDA'!M68 - 1, "")</f>
        <v/>
      </c>
      <c r="N72" s="63" t="str">
        <f>iferror('Quarterly Revenue&amp;EBITDA'!N72/'Quarterly Revenue&amp;EBITDA'!N68 - 1, "")</f>
        <v/>
      </c>
      <c r="O72" s="63">
        <f>iferror('Quarterly Revenue&amp;EBITDA'!O72/'Quarterly Revenue&amp;EBITDA'!O68 - 1, "")</f>
        <v>0.3445082691</v>
      </c>
      <c r="P72" s="63" t="str">
        <f>iferror('Quarterly Revenue&amp;EBITDA'!P72/'Quarterly Revenue&amp;EBITDA'!P68 - 1, "")</f>
        <v/>
      </c>
      <c r="Q72" s="63" t="str">
        <f>iferror('Quarterly Revenue&amp;EBITDA'!Q72/'Quarterly Revenue&amp;EBITDA'!Q68 - 1, "")</f>
        <v/>
      </c>
      <c r="R72" s="63"/>
      <c r="S72" s="63">
        <f>iferror('Quarterly Revenue&amp;EBITDA'!S72/'Quarterly Revenue&amp;EBITDA'!S68 - 1, "")</f>
        <v>0.05047002937</v>
      </c>
      <c r="T72" s="63" t="str">
        <f>iferror('Quarterly Revenue&amp;EBITDA'!T72/'Quarterly Revenue&amp;EBITDA'!T68 - 1, "")</f>
        <v/>
      </c>
      <c r="U72" s="63" t="str">
        <f>iferror('Quarterly Revenue&amp;EBITDA'!U72/'Quarterly Revenue&amp;EBITDA'!U68 - 1, "")</f>
        <v/>
      </c>
      <c r="V72" s="63">
        <f>iferror('Quarterly Revenue&amp;EBITDA'!V72/'Quarterly Revenue&amp;EBITDA'!V68 - 1, "")</f>
        <v>0.1003585584</v>
      </c>
      <c r="W72" s="62"/>
      <c r="X72" s="63">
        <f>iferror('Quarterly Revenue&amp;EBITDA'!X72/'Quarterly Revenue&amp;EBITDA'!X68 - 1, "")</f>
        <v>0.1537208786</v>
      </c>
      <c r="Y72" s="63">
        <f>iferror('Quarterly Revenue&amp;EBITDA'!Y72/'Quarterly Revenue&amp;EBITDA'!Y68 - 1, "")</f>
        <v>0.2960921086</v>
      </c>
      <c r="Z72" s="63" t="str">
        <f>iferror('Quarterly Revenue&amp;EBITDA'!Z72/'Quarterly Revenue&amp;EBITDA'!Z68 - 1, "")</f>
        <v/>
      </c>
      <c r="AA72" s="63" t="str">
        <f>iferror('Quarterly Revenue&amp;EBITDA'!AA72/'Quarterly Revenue&amp;EBITDA'!AA68 - 1, "")</f>
        <v/>
      </c>
      <c r="AB72" s="63" t="str">
        <f>iferror('Quarterly Revenue&amp;EBITDA'!AB72/'Quarterly Revenue&amp;EBITDA'!AB68 - 1, "")</f>
        <v/>
      </c>
      <c r="AC72" s="63" t="str">
        <f>iferror('Quarterly Revenue&amp;EBITDA'!AC72/'Quarterly Revenue&amp;EBITDA'!AC68 - 1, "")</f>
        <v/>
      </c>
      <c r="AD72" s="43"/>
    </row>
    <row r="73">
      <c r="A73" s="42" t="s">
        <v>100</v>
      </c>
      <c r="B73" s="62"/>
      <c r="C73" s="63">
        <f>iferror('Quarterly Revenue&amp;EBITDA'!C73/'Quarterly Revenue&amp;EBITDA'!C69 - 1, "")</f>
        <v>0.2426896418</v>
      </c>
      <c r="D73" s="63">
        <f>iferror('Quarterly Revenue&amp;EBITDA'!D73/'Quarterly Revenue&amp;EBITDA'!D69 - 1, "")</f>
        <v>0.2079589475</v>
      </c>
      <c r="E73" s="63">
        <f>iferror('Quarterly Revenue&amp;EBITDA'!E73/'Quarterly Revenue&amp;EBITDA'!E69 - 1, "")</f>
        <v>0.3202101036</v>
      </c>
      <c r="F73" s="63">
        <f>iferror('Quarterly Revenue&amp;EBITDA'!F73/'Quarterly Revenue&amp;EBITDA'!F69 - 1, "")</f>
        <v>0.3185185185</v>
      </c>
      <c r="G73" s="63" t="str">
        <f>iferror('Quarterly Revenue&amp;EBITDA'!G73/'Quarterly Revenue&amp;EBITDA'!G69 - 1, "")</f>
        <v/>
      </c>
      <c r="H73" s="63">
        <f>iferror('Quarterly Revenue&amp;EBITDA'!H73/'Quarterly Revenue&amp;EBITDA'!H69 - 1, "")</f>
        <v>-0.7653001269</v>
      </c>
      <c r="I73" s="63" t="str">
        <f>iferror('Quarterly Revenue&amp;EBITDA'!I73/'Quarterly Revenue&amp;EBITDA'!I69 - 1, "")</f>
        <v/>
      </c>
      <c r="J73" s="63">
        <f>iferror('Quarterly Revenue&amp;EBITDA'!J73/'Quarterly Revenue&amp;EBITDA'!J69 - 1, "")</f>
        <v>0.1714020652</v>
      </c>
      <c r="K73" s="63" t="str">
        <f>iferror('Quarterly Revenue&amp;EBITDA'!K73/'Quarterly Revenue&amp;EBITDA'!K69 - 1, "")</f>
        <v/>
      </c>
      <c r="L73" s="63">
        <f>iferror('Quarterly Revenue&amp;EBITDA'!L73/'Quarterly Revenue&amp;EBITDA'!L69 - 1, "")</f>
        <v>0.2210249267</v>
      </c>
      <c r="M73" s="63" t="str">
        <f>iferror('Quarterly Revenue&amp;EBITDA'!M73/'Quarterly Revenue&amp;EBITDA'!M69 - 1, "")</f>
        <v/>
      </c>
      <c r="N73" s="63" t="str">
        <f>iferror('Quarterly Revenue&amp;EBITDA'!N73/'Quarterly Revenue&amp;EBITDA'!N69 - 1, "")</f>
        <v/>
      </c>
      <c r="O73" s="63">
        <f>iferror('Quarterly Revenue&amp;EBITDA'!O73/'Quarterly Revenue&amp;EBITDA'!O69 - 1, "")</f>
        <v>-0.0152922312</v>
      </c>
      <c r="P73" s="63" t="str">
        <f>iferror('Quarterly Revenue&amp;EBITDA'!P73/'Quarterly Revenue&amp;EBITDA'!P69 - 1, "")</f>
        <v/>
      </c>
      <c r="Q73" s="63" t="str">
        <f>iferror('Quarterly Revenue&amp;EBITDA'!Q73/'Quarterly Revenue&amp;EBITDA'!Q69 - 1, "")</f>
        <v/>
      </c>
      <c r="R73" s="63"/>
      <c r="S73" s="63">
        <f>iferror('Quarterly Revenue&amp;EBITDA'!S73/'Quarterly Revenue&amp;EBITDA'!S69 - 1, "")</f>
        <v>0.05047002937</v>
      </c>
      <c r="T73" s="63" t="str">
        <f>iferror('Quarterly Revenue&amp;EBITDA'!T73/'Quarterly Revenue&amp;EBITDA'!T69 - 1, "")</f>
        <v/>
      </c>
      <c r="U73" s="63" t="str">
        <f>iferror('Quarterly Revenue&amp;EBITDA'!U73/'Quarterly Revenue&amp;EBITDA'!U69 - 1, "")</f>
        <v/>
      </c>
      <c r="V73" s="63">
        <f>iferror('Quarterly Revenue&amp;EBITDA'!V73/'Quarterly Revenue&amp;EBITDA'!V69 - 1, "")</f>
        <v>0.1003585584</v>
      </c>
      <c r="W73" s="62"/>
      <c r="X73" s="63">
        <f>iferror('Quarterly Revenue&amp;EBITDA'!X73/'Quarterly Revenue&amp;EBITDA'!X69 - 1, "")</f>
        <v>-0.1272524818</v>
      </c>
      <c r="Y73" s="63">
        <f>iferror('Quarterly Revenue&amp;EBITDA'!Y73/'Quarterly Revenue&amp;EBITDA'!Y69 - 1, "")</f>
        <v>0.2960921086</v>
      </c>
      <c r="Z73" s="63" t="str">
        <f>iferror('Quarterly Revenue&amp;EBITDA'!Z73/'Quarterly Revenue&amp;EBITDA'!Z69 - 1, "")</f>
        <v/>
      </c>
      <c r="AA73" s="63" t="str">
        <f>iferror('Quarterly Revenue&amp;EBITDA'!AA73/'Quarterly Revenue&amp;EBITDA'!AA69 - 1, "")</f>
        <v/>
      </c>
      <c r="AB73" s="63" t="str">
        <f>iferror('Quarterly Revenue&amp;EBITDA'!AB73/'Quarterly Revenue&amp;EBITDA'!AB69 - 1, "")</f>
        <v/>
      </c>
      <c r="AC73" s="63" t="str">
        <f>iferror('Quarterly Revenue&amp;EBITDA'!AC73/'Quarterly Revenue&amp;EBITDA'!AC69 - 1, "")</f>
        <v/>
      </c>
      <c r="AD73" s="43"/>
    </row>
    <row r="74">
      <c r="A74" s="42" t="s">
        <v>101</v>
      </c>
      <c r="B74" s="62"/>
      <c r="C74" s="63">
        <f>iferror('Quarterly Revenue&amp;EBITDA'!C74/'Quarterly Revenue&amp;EBITDA'!C70 - 1, "")</f>
        <v>0.2426896418</v>
      </c>
      <c r="D74" s="63">
        <f>iferror('Quarterly Revenue&amp;EBITDA'!D74/'Quarterly Revenue&amp;EBITDA'!D70 - 1, "")</f>
        <v>0.2079589475</v>
      </c>
      <c r="E74" s="63">
        <f>iferror('Quarterly Revenue&amp;EBITDA'!E74/'Quarterly Revenue&amp;EBITDA'!E70 - 1, "")</f>
        <v>0.3202101036</v>
      </c>
      <c r="F74" s="63">
        <f>iferror('Quarterly Revenue&amp;EBITDA'!F74/'Quarterly Revenue&amp;EBITDA'!F70 - 1, "")</f>
        <v>0.3185185185</v>
      </c>
      <c r="G74" s="63" t="str">
        <f>iferror('Quarterly Revenue&amp;EBITDA'!G74/'Quarterly Revenue&amp;EBITDA'!G70 - 1, "")</f>
        <v/>
      </c>
      <c r="H74" s="63">
        <f>iferror('Quarterly Revenue&amp;EBITDA'!H74/'Quarterly Revenue&amp;EBITDA'!H70 - 1, "")</f>
        <v>-0.7653001269</v>
      </c>
      <c r="I74" s="63" t="str">
        <f>iferror('Quarterly Revenue&amp;EBITDA'!I74/'Quarterly Revenue&amp;EBITDA'!I70 - 1, "")</f>
        <v/>
      </c>
      <c r="J74" s="63">
        <f>iferror('Quarterly Revenue&amp;EBITDA'!J74/'Quarterly Revenue&amp;EBITDA'!J70 - 1, "")</f>
        <v>0.1714020652</v>
      </c>
      <c r="K74" s="63" t="str">
        <f>iferror('Quarterly Revenue&amp;EBITDA'!K74/'Quarterly Revenue&amp;EBITDA'!K70 - 1, "")</f>
        <v/>
      </c>
      <c r="L74" s="63">
        <f>iferror('Quarterly Revenue&amp;EBITDA'!L74/'Quarterly Revenue&amp;EBITDA'!L70 - 1, "")</f>
        <v>0.2210249267</v>
      </c>
      <c r="M74" s="63" t="str">
        <f>iferror('Quarterly Revenue&amp;EBITDA'!M74/'Quarterly Revenue&amp;EBITDA'!M70 - 1, "")</f>
        <v/>
      </c>
      <c r="N74" s="63" t="str">
        <f>iferror('Quarterly Revenue&amp;EBITDA'!N74/'Quarterly Revenue&amp;EBITDA'!N70 - 1, "")</f>
        <v/>
      </c>
      <c r="O74" s="63">
        <f>iferror('Quarterly Revenue&amp;EBITDA'!O74/'Quarterly Revenue&amp;EBITDA'!O70 - 1, "")</f>
        <v>-0.0152922312</v>
      </c>
      <c r="P74" s="63" t="str">
        <f>iferror('Quarterly Revenue&amp;EBITDA'!P74/'Quarterly Revenue&amp;EBITDA'!P70 - 1, "")</f>
        <v/>
      </c>
      <c r="Q74" s="63" t="str">
        <f>iferror('Quarterly Revenue&amp;EBITDA'!Q74/'Quarterly Revenue&amp;EBITDA'!Q70 - 1, "")</f>
        <v/>
      </c>
      <c r="R74" s="63"/>
      <c r="S74" s="63">
        <f>iferror('Quarterly Revenue&amp;EBITDA'!S74/'Quarterly Revenue&amp;EBITDA'!S70 - 1, "")</f>
        <v>0.05047002937</v>
      </c>
      <c r="T74" s="63" t="str">
        <f>iferror('Quarterly Revenue&amp;EBITDA'!T74/'Quarterly Revenue&amp;EBITDA'!T70 - 1, "")</f>
        <v/>
      </c>
      <c r="U74" s="63" t="str">
        <f>iferror('Quarterly Revenue&amp;EBITDA'!U74/'Quarterly Revenue&amp;EBITDA'!U70 - 1, "")</f>
        <v/>
      </c>
      <c r="V74" s="63">
        <f>iferror('Quarterly Revenue&amp;EBITDA'!V74/'Quarterly Revenue&amp;EBITDA'!V70 - 1, "")</f>
        <v>0.1003585584</v>
      </c>
      <c r="W74" s="62"/>
      <c r="X74" s="63">
        <f>iferror('Quarterly Revenue&amp;EBITDA'!X74/'Quarterly Revenue&amp;EBITDA'!X70 - 1, "")</f>
        <v>-0.1272524818</v>
      </c>
      <c r="Y74" s="63">
        <f>iferror('Quarterly Revenue&amp;EBITDA'!Y74/'Quarterly Revenue&amp;EBITDA'!Y70 - 1, "")</f>
        <v>0.2960921086</v>
      </c>
      <c r="Z74" s="63" t="str">
        <f>iferror('Quarterly Revenue&amp;EBITDA'!Z74/'Quarterly Revenue&amp;EBITDA'!Z70 - 1, "")</f>
        <v/>
      </c>
      <c r="AA74" s="63" t="str">
        <f>iferror('Quarterly Revenue&amp;EBITDA'!AA74/'Quarterly Revenue&amp;EBITDA'!AA70 - 1, "")</f>
        <v/>
      </c>
      <c r="AB74" s="63" t="str">
        <f>iferror('Quarterly Revenue&amp;EBITDA'!AB74/'Quarterly Revenue&amp;EBITDA'!AB70 - 1, "")</f>
        <v/>
      </c>
      <c r="AC74" s="63" t="str">
        <f>iferror('Quarterly Revenue&amp;EBITDA'!AC74/'Quarterly Revenue&amp;EBITDA'!AC70 - 1, "")</f>
        <v/>
      </c>
      <c r="AD74" s="43"/>
    </row>
    <row r="75">
      <c r="A75" s="42" t="s">
        <v>102</v>
      </c>
      <c r="B75" s="63"/>
      <c r="C75" s="63">
        <f>iferror('Quarterly Revenue&amp;EBITDA'!C75/'Quarterly Revenue&amp;EBITDA'!C71 - 1, "")</f>
        <v>0.09263429121</v>
      </c>
      <c r="D75" s="63">
        <f>iferror('Quarterly Revenue&amp;EBITDA'!D75/'Quarterly Revenue&amp;EBITDA'!D71 - 1, "")</f>
        <v>0.1576879267</v>
      </c>
      <c r="E75" s="63">
        <f>iferror('Quarterly Revenue&amp;EBITDA'!E75/'Quarterly Revenue&amp;EBITDA'!E71 - 1, "")</f>
        <v>0.3981691934</v>
      </c>
      <c r="F75" s="63">
        <f>iferror('Quarterly Revenue&amp;EBITDA'!F75/'Quarterly Revenue&amp;EBITDA'!F71 - 1, "")</f>
        <v>0.1974317817</v>
      </c>
      <c r="G75" s="63">
        <f>iferror('Quarterly Revenue&amp;EBITDA'!G75/'Quarterly Revenue&amp;EBITDA'!G71 - 1, "")</f>
        <v>0.4293827884</v>
      </c>
      <c r="H75" s="63">
        <f>iferror('Quarterly Revenue&amp;EBITDA'!H75/'Quarterly Revenue&amp;EBITDA'!H71 - 1, "")</f>
        <v>-0.7653001269</v>
      </c>
      <c r="I75" s="63" t="str">
        <f>iferror('Quarterly Revenue&amp;EBITDA'!I75/'Quarterly Revenue&amp;EBITDA'!I71 - 1, "")</f>
        <v/>
      </c>
      <c r="J75" s="63">
        <f>iferror('Quarterly Revenue&amp;EBITDA'!J75/'Quarterly Revenue&amp;EBITDA'!J71 - 1, "")</f>
        <v>0.1714020652</v>
      </c>
      <c r="K75" s="63" t="str">
        <f>iferror('Quarterly Revenue&amp;EBITDA'!K75/'Quarterly Revenue&amp;EBITDA'!K71 - 1, "")</f>
        <v/>
      </c>
      <c r="L75" s="63">
        <f>iferror('Quarterly Revenue&amp;EBITDA'!L75/'Quarterly Revenue&amp;EBITDA'!L71 - 1, "")</f>
        <v>0.1542158997</v>
      </c>
      <c r="M75" s="63" t="str">
        <f>iferror('Quarterly Revenue&amp;EBITDA'!M75/'Quarterly Revenue&amp;EBITDA'!M71 - 1, "")</f>
        <v/>
      </c>
      <c r="N75" s="63" t="str">
        <f>iferror('Quarterly Revenue&amp;EBITDA'!N75/'Quarterly Revenue&amp;EBITDA'!N71 - 1, "")</f>
        <v/>
      </c>
      <c r="O75" s="63">
        <f>iferror('Quarterly Revenue&amp;EBITDA'!O75/'Quarterly Revenue&amp;EBITDA'!O71 - 1, "")</f>
        <v>-0.0152922312</v>
      </c>
      <c r="P75" s="63" t="str">
        <f>iferror('Quarterly Revenue&amp;EBITDA'!P75/'Quarterly Revenue&amp;EBITDA'!P71 - 1, "")</f>
        <v/>
      </c>
      <c r="Q75" s="63" t="str">
        <f>iferror('Quarterly Revenue&amp;EBITDA'!Q75/'Quarterly Revenue&amp;EBITDA'!Q71 - 1, "")</f>
        <v/>
      </c>
      <c r="R75" s="63"/>
      <c r="S75" s="63">
        <f>iferror('Quarterly Revenue&amp;EBITDA'!S75/'Quarterly Revenue&amp;EBITDA'!S71 - 1, "")</f>
        <v>0.5232633071</v>
      </c>
      <c r="T75" s="63" t="str">
        <f>iferror('Quarterly Revenue&amp;EBITDA'!T75/'Quarterly Revenue&amp;EBITDA'!T71 - 1, "")</f>
        <v/>
      </c>
      <c r="U75" s="63" t="str">
        <f>iferror('Quarterly Revenue&amp;EBITDA'!U75/'Quarterly Revenue&amp;EBITDA'!U71 - 1, "")</f>
        <v/>
      </c>
      <c r="V75" s="63"/>
      <c r="W75" s="62"/>
      <c r="X75" s="63">
        <f>iferror('Quarterly Revenue&amp;EBITDA'!X75/'Quarterly Revenue&amp;EBITDA'!X71 - 1, "")</f>
        <v>-0.1272524818</v>
      </c>
      <c r="Y75" s="63">
        <f>iferror('Quarterly Revenue&amp;EBITDA'!Y75/'Quarterly Revenue&amp;EBITDA'!Y71 - 1, "")</f>
        <v>0.1787890139</v>
      </c>
      <c r="Z75" s="63" t="str">
        <f>iferror('Quarterly Revenue&amp;EBITDA'!Z75/'Quarterly Revenue&amp;EBITDA'!Z71 - 1, "")</f>
        <v/>
      </c>
      <c r="AA75" s="63"/>
      <c r="AB75" s="63" t="str">
        <f>iferror('Quarterly Revenue&amp;EBITDA'!AB75/'Quarterly Revenue&amp;EBITDA'!AB71 - 1, "")</f>
        <v/>
      </c>
      <c r="AC75" s="63" t="str">
        <f>iferror('Quarterly Revenue&amp;EBITDA'!AC75/'Quarterly Revenue&amp;EBITDA'!AC71 - 1, "")</f>
        <v/>
      </c>
      <c r="AD75" s="43"/>
    </row>
    <row r="76">
      <c r="A76" s="42" t="s">
        <v>103</v>
      </c>
      <c r="B76" s="63"/>
      <c r="C76" s="63">
        <f>iferror('Quarterly Revenue&amp;EBITDA'!C76/'Quarterly Revenue&amp;EBITDA'!C72 - 1, "")</f>
        <v>0.09263429121</v>
      </c>
      <c r="D76" s="63">
        <f>iferror('Quarterly Revenue&amp;EBITDA'!D76/'Quarterly Revenue&amp;EBITDA'!D72 - 1, "")</f>
        <v>0.1576879267</v>
      </c>
      <c r="E76" s="63">
        <f>iferror('Quarterly Revenue&amp;EBITDA'!E76/'Quarterly Revenue&amp;EBITDA'!E72 - 1, "")</f>
        <v>0.3981691934</v>
      </c>
      <c r="F76" s="63">
        <f>iferror('Quarterly Revenue&amp;EBITDA'!F76/'Quarterly Revenue&amp;EBITDA'!F72 - 1, "")</f>
        <v>0.1974317817</v>
      </c>
      <c r="G76" s="63">
        <f>iferror('Quarterly Revenue&amp;EBITDA'!G76/'Quarterly Revenue&amp;EBITDA'!G72 - 1, "")</f>
        <v>0.4293827884</v>
      </c>
      <c r="H76" s="63">
        <f>iferror('Quarterly Revenue&amp;EBITDA'!H76/'Quarterly Revenue&amp;EBITDA'!H72 - 1, "")</f>
        <v>2.403013195</v>
      </c>
      <c r="I76" s="63" t="str">
        <f>iferror('Quarterly Revenue&amp;EBITDA'!I76/'Quarterly Revenue&amp;EBITDA'!I72 - 1, "")</f>
        <v/>
      </c>
      <c r="J76" s="63">
        <f>iferror('Quarterly Revenue&amp;EBITDA'!J76/'Quarterly Revenue&amp;EBITDA'!J72 - 1, "")</f>
        <v>0.1216345274</v>
      </c>
      <c r="K76" s="63" t="str">
        <f>iferror('Quarterly Revenue&amp;EBITDA'!K76/'Quarterly Revenue&amp;EBITDA'!K72 - 1, "")</f>
        <v/>
      </c>
      <c r="L76" s="63">
        <f>iferror('Quarterly Revenue&amp;EBITDA'!L76/'Quarterly Revenue&amp;EBITDA'!L72 - 1, "")</f>
        <v>0.1542158997</v>
      </c>
      <c r="M76" s="63" t="str">
        <f>iferror('Quarterly Revenue&amp;EBITDA'!M76/'Quarterly Revenue&amp;EBITDA'!M72 - 1, "")</f>
        <v/>
      </c>
      <c r="N76" s="63" t="str">
        <f>iferror('Quarterly Revenue&amp;EBITDA'!N76/'Quarterly Revenue&amp;EBITDA'!N72 - 1, "")</f>
        <v/>
      </c>
      <c r="O76" s="63">
        <f>iferror('Quarterly Revenue&amp;EBITDA'!O76/'Quarterly Revenue&amp;EBITDA'!O72 - 1, "")</f>
        <v>-0.0152922312</v>
      </c>
      <c r="P76" s="63" t="str">
        <f>iferror('Quarterly Revenue&amp;EBITDA'!P76/'Quarterly Revenue&amp;EBITDA'!P72 - 1, "")</f>
        <v/>
      </c>
      <c r="Q76" s="63" t="str">
        <f>iferror('Quarterly Revenue&amp;EBITDA'!Q76/'Quarterly Revenue&amp;EBITDA'!Q72 - 1, "")</f>
        <v/>
      </c>
      <c r="R76" s="63"/>
      <c r="S76" s="63">
        <f>iferror('Quarterly Revenue&amp;EBITDA'!S76/'Quarterly Revenue&amp;EBITDA'!S72 - 1, "")</f>
        <v>0.5232633071</v>
      </c>
      <c r="T76" s="63" t="str">
        <f>iferror('Quarterly Revenue&amp;EBITDA'!T76/'Quarterly Revenue&amp;EBITDA'!T72 - 1, "")</f>
        <v/>
      </c>
      <c r="U76" s="63" t="str">
        <f>iferror('Quarterly Revenue&amp;EBITDA'!U76/'Quarterly Revenue&amp;EBITDA'!U72 - 1, "")</f>
        <v/>
      </c>
      <c r="V76" s="63"/>
      <c r="W76" s="62"/>
      <c r="X76" s="63">
        <f>iferror('Quarterly Revenue&amp;EBITDA'!X76/'Quarterly Revenue&amp;EBITDA'!X72 - 1, "")</f>
        <v>-0.1272524818</v>
      </c>
      <c r="Y76" s="63">
        <f>iferror('Quarterly Revenue&amp;EBITDA'!Y76/'Quarterly Revenue&amp;EBITDA'!Y72 - 1, "")</f>
        <v>0.1787890139</v>
      </c>
      <c r="Z76" s="63" t="str">
        <f>iferror('Quarterly Revenue&amp;EBITDA'!Z76/'Quarterly Revenue&amp;EBITDA'!Z72 - 1, "")</f>
        <v/>
      </c>
      <c r="AA76" s="63"/>
      <c r="AB76" s="63" t="str">
        <f>iferror('Quarterly Revenue&amp;EBITDA'!AB76/'Quarterly Revenue&amp;EBITDA'!AB72 - 1, "")</f>
        <v/>
      </c>
      <c r="AC76" s="63" t="str">
        <f>iferror('Quarterly Revenue&amp;EBITDA'!AC76/'Quarterly Revenue&amp;EBITDA'!AC72 - 1, "")</f>
        <v/>
      </c>
      <c r="AD76" s="43"/>
    </row>
    <row r="77">
      <c r="A77" s="42" t="s">
        <v>104</v>
      </c>
      <c r="B77" s="63" t="str">
        <f>iferror('Quarterly Revenue&amp;EBITDA'!B77/'Quarterly Revenue&amp;EBITDA'!B73 - 1, "")</f>
        <v/>
      </c>
      <c r="C77" s="63">
        <f>iferror('Quarterly Revenue&amp;EBITDA'!C77/'Quarterly Revenue&amp;EBITDA'!C73 - 1, "")</f>
        <v>0.09263429121</v>
      </c>
      <c r="D77" s="63">
        <f>iferror('Quarterly Revenue&amp;EBITDA'!D77/'Quarterly Revenue&amp;EBITDA'!D73 - 1, "")</f>
        <v>0.1576879267</v>
      </c>
      <c r="E77" s="63">
        <f>iferror('Quarterly Revenue&amp;EBITDA'!E77/'Quarterly Revenue&amp;EBITDA'!E73 - 1, "")</f>
        <v>0.3981691934</v>
      </c>
      <c r="F77" s="63">
        <f>iferror('Quarterly Revenue&amp;EBITDA'!F77/'Quarterly Revenue&amp;EBITDA'!F73 - 1, "")</f>
        <v>0.1974317817</v>
      </c>
      <c r="G77" s="63">
        <f>iferror('Quarterly Revenue&amp;EBITDA'!G77/'Quarterly Revenue&amp;EBITDA'!G73 - 1, "")</f>
        <v>0.4293827884</v>
      </c>
      <c r="H77" s="63">
        <f>iferror('Quarterly Revenue&amp;EBITDA'!H77/'Quarterly Revenue&amp;EBITDA'!H73 - 1, "")</f>
        <v>2.403013195</v>
      </c>
      <c r="I77" s="63" t="str">
        <f>iferror('Quarterly Revenue&amp;EBITDA'!I77/'Quarterly Revenue&amp;EBITDA'!I73 - 1, "")</f>
        <v/>
      </c>
      <c r="J77" s="63">
        <f>iferror('Quarterly Revenue&amp;EBITDA'!J77/'Quarterly Revenue&amp;EBITDA'!J73 - 1, "")</f>
        <v>0.1216345274</v>
      </c>
      <c r="K77" s="63" t="str">
        <f>iferror('Quarterly Revenue&amp;EBITDA'!K77/'Quarterly Revenue&amp;EBITDA'!K73 - 1, "")</f>
        <v/>
      </c>
      <c r="L77" s="63">
        <f>iferror('Quarterly Revenue&amp;EBITDA'!L77/'Quarterly Revenue&amp;EBITDA'!L73 - 1, "")</f>
        <v>0.1542158997</v>
      </c>
      <c r="M77" s="63" t="str">
        <f>iferror('Quarterly Revenue&amp;EBITDA'!M77/'Quarterly Revenue&amp;EBITDA'!M73 - 1, "")</f>
        <v/>
      </c>
      <c r="N77" s="63" t="str">
        <f>iferror('Quarterly Revenue&amp;EBITDA'!N77/'Quarterly Revenue&amp;EBITDA'!N73 - 1, "")</f>
        <v/>
      </c>
      <c r="O77" s="63">
        <f>iferror('Quarterly Revenue&amp;EBITDA'!O77/'Quarterly Revenue&amp;EBITDA'!O73 - 1, "")</f>
        <v>0.2534698695</v>
      </c>
      <c r="P77" s="63" t="str">
        <f>iferror('Quarterly Revenue&amp;EBITDA'!P77/'Quarterly Revenue&amp;EBITDA'!P73 - 1, "")</f>
        <v/>
      </c>
      <c r="Q77" s="63" t="str">
        <f>iferror('Quarterly Revenue&amp;EBITDA'!Q77/'Quarterly Revenue&amp;EBITDA'!Q73 - 1, "")</f>
        <v/>
      </c>
      <c r="R77" s="63"/>
      <c r="S77" s="63">
        <f>iferror('Quarterly Revenue&amp;EBITDA'!S77/'Quarterly Revenue&amp;EBITDA'!S73 - 1, "")</f>
        <v>0.5232633071</v>
      </c>
      <c r="T77" s="63" t="str">
        <f>iferror('Quarterly Revenue&amp;EBITDA'!T77/'Quarterly Revenue&amp;EBITDA'!T73 - 1, "")</f>
        <v/>
      </c>
      <c r="U77" s="63" t="str">
        <f>iferror('Quarterly Revenue&amp;EBITDA'!U77/'Quarterly Revenue&amp;EBITDA'!U73 - 1, "")</f>
        <v/>
      </c>
      <c r="V77" s="63"/>
      <c r="W77" s="62"/>
      <c r="X77" s="63">
        <f>iferror('Quarterly Revenue&amp;EBITDA'!X77/'Quarterly Revenue&amp;EBITDA'!X73 - 1, "")</f>
        <v>0.07869100268</v>
      </c>
      <c r="Y77" s="63">
        <f>iferror('Quarterly Revenue&amp;EBITDA'!Y77/'Quarterly Revenue&amp;EBITDA'!Y73 - 1, "")</f>
        <v>0.1787890139</v>
      </c>
      <c r="Z77" s="63" t="str">
        <f>iferror('Quarterly Revenue&amp;EBITDA'!Z77/'Quarterly Revenue&amp;EBITDA'!Z73 - 1, "")</f>
        <v/>
      </c>
      <c r="AA77" s="63"/>
      <c r="AB77" s="63" t="str">
        <f>iferror('Quarterly Revenue&amp;EBITDA'!AB77/'Quarterly Revenue&amp;EBITDA'!AB73 - 1, "")</f>
        <v/>
      </c>
      <c r="AC77" s="63" t="str">
        <f>iferror('Quarterly Revenue&amp;EBITDA'!AC77/'Quarterly Revenue&amp;EBITDA'!AC73 - 1, "")</f>
        <v/>
      </c>
      <c r="AD77" s="43"/>
    </row>
    <row r="78">
      <c r="A78" s="42" t="s">
        <v>105</v>
      </c>
      <c r="B78" s="63" t="str">
        <f>iferror('Quarterly Revenue&amp;EBITDA'!B78/'Quarterly Revenue&amp;EBITDA'!B74 - 1, "")</f>
        <v/>
      </c>
      <c r="C78" s="63">
        <f>iferror('Quarterly Revenue&amp;EBITDA'!C78/'Quarterly Revenue&amp;EBITDA'!C74 - 1, "")</f>
        <v>0.09263429121</v>
      </c>
      <c r="D78" s="63">
        <f>iferror('Quarterly Revenue&amp;EBITDA'!D78/'Quarterly Revenue&amp;EBITDA'!D74 - 1, "")</f>
        <v>0.1576879267</v>
      </c>
      <c r="E78" s="63">
        <f>iferror('Quarterly Revenue&amp;EBITDA'!E78/'Quarterly Revenue&amp;EBITDA'!E74 - 1, "")</f>
        <v>0.3981691934</v>
      </c>
      <c r="F78" s="63">
        <f>iferror('Quarterly Revenue&amp;EBITDA'!F78/'Quarterly Revenue&amp;EBITDA'!F74 - 1, "")</f>
        <v>0.1974317817</v>
      </c>
      <c r="G78" s="63">
        <f>iferror('Quarterly Revenue&amp;EBITDA'!G78/'Quarterly Revenue&amp;EBITDA'!G74 - 1, "")</f>
        <v>0.4293827884</v>
      </c>
      <c r="H78" s="63">
        <f>iferror('Quarterly Revenue&amp;EBITDA'!H78/'Quarterly Revenue&amp;EBITDA'!H74 - 1, "")</f>
        <v>2.403013195</v>
      </c>
      <c r="I78" s="63" t="str">
        <f>iferror('Quarterly Revenue&amp;EBITDA'!I78/'Quarterly Revenue&amp;EBITDA'!I74 - 1, "")</f>
        <v/>
      </c>
      <c r="J78" s="63">
        <f>iferror('Quarterly Revenue&amp;EBITDA'!J78/'Quarterly Revenue&amp;EBITDA'!J74 - 1, "")</f>
        <v>0.1216345274</v>
      </c>
      <c r="K78" s="63" t="str">
        <f>iferror('Quarterly Revenue&amp;EBITDA'!K78/'Quarterly Revenue&amp;EBITDA'!K74 - 1, "")</f>
        <v/>
      </c>
      <c r="L78" s="63">
        <f>iferror('Quarterly Revenue&amp;EBITDA'!L78/'Quarterly Revenue&amp;EBITDA'!L74 - 1, "")</f>
        <v>0.1542158997</v>
      </c>
      <c r="M78" s="63" t="str">
        <f>iferror('Quarterly Revenue&amp;EBITDA'!M78/'Quarterly Revenue&amp;EBITDA'!M74 - 1, "")</f>
        <v/>
      </c>
      <c r="N78" s="63" t="str">
        <f>iferror('Quarterly Revenue&amp;EBITDA'!N78/'Quarterly Revenue&amp;EBITDA'!N74 - 1, "")</f>
        <v/>
      </c>
      <c r="O78" s="63">
        <f>iferror('Quarterly Revenue&amp;EBITDA'!O78/'Quarterly Revenue&amp;EBITDA'!O74 - 1, "")</f>
        <v>0.2534698695</v>
      </c>
      <c r="P78" s="63" t="str">
        <f>iferror('Quarterly Revenue&amp;EBITDA'!P78/'Quarterly Revenue&amp;EBITDA'!P74 - 1, "")</f>
        <v/>
      </c>
      <c r="Q78" s="63" t="str">
        <f>iferror('Quarterly Revenue&amp;EBITDA'!Q78/'Quarterly Revenue&amp;EBITDA'!Q74 - 1, "")</f>
        <v/>
      </c>
      <c r="R78" s="63"/>
      <c r="S78" s="63">
        <f>iferror('Quarterly Revenue&amp;EBITDA'!S78/'Quarterly Revenue&amp;EBITDA'!S74 - 1, "")</f>
        <v>0.5232633071</v>
      </c>
      <c r="T78" s="63" t="str">
        <f>iferror('Quarterly Revenue&amp;EBITDA'!T78/'Quarterly Revenue&amp;EBITDA'!T74 - 1, "")</f>
        <v/>
      </c>
      <c r="U78" s="63" t="str">
        <f>iferror('Quarterly Revenue&amp;EBITDA'!U78/'Quarterly Revenue&amp;EBITDA'!U74 - 1, "")</f>
        <v/>
      </c>
      <c r="V78" s="62"/>
      <c r="W78" s="62"/>
      <c r="X78" s="63">
        <f>iferror('Quarterly Revenue&amp;EBITDA'!X78/'Quarterly Revenue&amp;EBITDA'!X74 - 1, "")</f>
        <v>0.07869100268</v>
      </c>
      <c r="Y78" s="63">
        <f>iferror('Quarterly Revenue&amp;EBITDA'!Y78/'Quarterly Revenue&amp;EBITDA'!Y74 - 1, "")</f>
        <v>0.1787890139</v>
      </c>
      <c r="Z78" s="63" t="str">
        <f>iferror('Quarterly Revenue&amp;EBITDA'!Z78/'Quarterly Revenue&amp;EBITDA'!Z74 - 1, "")</f>
        <v/>
      </c>
      <c r="AA78" s="63"/>
      <c r="AB78" s="63" t="str">
        <f>iferror('Quarterly Revenue&amp;EBITDA'!AB78/'Quarterly Revenue&amp;EBITDA'!AB74 - 1, "")</f>
        <v/>
      </c>
      <c r="AC78" s="63" t="str">
        <f>iferror('Quarterly Revenue&amp;EBITDA'!AC78/'Quarterly Revenue&amp;EBITDA'!AC74 - 1, "")</f>
        <v/>
      </c>
      <c r="AD78" s="43"/>
    </row>
    <row r="79">
      <c r="A79" s="42" t="s">
        <v>106</v>
      </c>
      <c r="B79" s="63">
        <f>iferror('Quarterly Revenue&amp;EBITDA'!B79/'Quarterly Revenue&amp;EBITDA'!B75 - 1, "")</f>
        <v>0.8014169118</v>
      </c>
      <c r="C79" s="63">
        <f>iferror('Quarterly Revenue&amp;EBITDA'!C79 * 1000/'Quarterly Revenue&amp;EBITDA'!C75 - 1, "")</f>
        <v>-0.0685155996</v>
      </c>
      <c r="D79" s="63">
        <f>iferror('Quarterly Revenue&amp;EBITDA'!D79 * 1000/'Quarterly Revenue&amp;EBITDA'!D75 - 1, "")</f>
        <v>0.1414325788</v>
      </c>
      <c r="E79" s="63">
        <f>iferror('Quarterly Revenue&amp;EBITDA'!E79 * 1000/'Quarterly Revenue&amp;EBITDA'!E75 - 1, "")</f>
        <v>0.625024423</v>
      </c>
      <c r="F79" s="63">
        <f>iferror('Quarterly Revenue&amp;EBITDA'!F79 * 1000/'Quarterly Revenue&amp;EBITDA'!F75 - 1, "")</f>
        <v>-0.0563002681</v>
      </c>
      <c r="G79" s="63">
        <f>iferror('Quarterly Revenue&amp;EBITDA'!G79 * 1000/'Quarterly Revenue&amp;EBITDA'!G75 - 1, "")</f>
        <v>0.1877373938</v>
      </c>
      <c r="H79" s="63">
        <f>iferror('Quarterly Revenue&amp;EBITDA'!H79/'Quarterly Revenue&amp;EBITDA'!H75 - 1, "")</f>
        <v>2.403013195</v>
      </c>
      <c r="I79" s="63">
        <f>iferror('Quarterly Revenue&amp;EBITDA'!I79 * 1000/'Quarterly Revenue&amp;EBITDA'!I75 - 1, "")</f>
        <v>-0.09890896846</v>
      </c>
      <c r="J79" s="63">
        <f>iferror('Quarterly Revenue&amp;EBITDA'!J79 * 1000/'Quarterly Revenue&amp;EBITDA'!J75 - 1, "")</f>
        <v>0.1713225629</v>
      </c>
      <c r="K79" s="63" t="str">
        <f>iferror('Quarterly Revenue&amp;EBITDA'!K79/'Quarterly Revenue&amp;EBITDA'!K75 - 1, "")</f>
        <v/>
      </c>
      <c r="L79" s="63">
        <f>iferror('Quarterly Revenue&amp;EBITDA'!L79/'Quarterly Revenue&amp;EBITDA'!L75 - 1, "")</f>
        <v>-0.998966438</v>
      </c>
      <c r="M79" s="63" t="str">
        <f>iferror('Quarterly Revenue&amp;EBITDA'!M79/'Quarterly Revenue&amp;EBITDA'!M75 - 1, "")</f>
        <v/>
      </c>
      <c r="N79" s="63" t="str">
        <f>iferror('Quarterly Revenue&amp;EBITDA'!N79/'Quarterly Revenue&amp;EBITDA'!N75 - 1, "")</f>
        <v/>
      </c>
      <c r="O79" s="63">
        <f>iferror('Quarterly Revenue&amp;EBITDA'!O79/'Quarterly Revenue&amp;EBITDA'!O75 - 1, "")</f>
        <v>0.2534698695</v>
      </c>
      <c r="P79" s="63" t="str">
        <f>iferror('Quarterly Revenue&amp;EBITDA'!P79/'Quarterly Revenue&amp;EBITDA'!P75 - 1, "")</f>
        <v/>
      </c>
      <c r="Q79" s="63" t="str">
        <f>iferror('Quarterly Revenue&amp;EBITDA'!Q79/'Quarterly Revenue&amp;EBITDA'!Q75 - 1, "")</f>
        <v/>
      </c>
      <c r="R79" s="63"/>
      <c r="S79" s="63">
        <f>iferror('Quarterly Revenue&amp;EBITDA'!S79/'Quarterly Revenue&amp;EBITDA'!S75 - 1, "")</f>
        <v>0.01414450571</v>
      </c>
      <c r="T79" s="63" t="str">
        <f>iferror('Quarterly Revenue&amp;EBITDA'!T79/'Quarterly Revenue&amp;EBITDA'!T75 - 1, "")</f>
        <v/>
      </c>
      <c r="U79" s="63" t="str">
        <f>iferror('Quarterly Revenue&amp;EBITDA'!U79/'Quarterly Revenue&amp;EBITDA'!U75 - 1, "")</f>
        <v/>
      </c>
      <c r="V79" s="62"/>
      <c r="W79" s="62"/>
      <c r="X79" s="63">
        <f>iferror('Quarterly Revenue&amp;EBITDA'!X79/'Quarterly Revenue&amp;EBITDA'!X75 - 1, "")</f>
        <v>0.07869100268</v>
      </c>
      <c r="Y79" s="63">
        <f>iferror('Quarterly Revenue&amp;EBITDA'!Y79/'Quarterly Revenue&amp;EBITDA'!Y75 - 1, "")</f>
        <v>0.1955516958</v>
      </c>
      <c r="Z79" s="63">
        <f>iferror('Quarterly Revenue&amp;EBITDA'!Z79/'Quarterly Revenue&amp;EBITDA'!Z75 - 1, "")</f>
        <v>0.4170744762</v>
      </c>
      <c r="AA79" s="63">
        <f>iferror('Quarterly Revenue&amp;EBITDA'!AA79/'Quarterly Revenue&amp;EBITDA'!AA75 - 1, "")</f>
        <v>2.787046417</v>
      </c>
      <c r="AB79" s="63" t="str">
        <f>iferror('Quarterly Revenue&amp;EBITDA'!AB79/'Quarterly Revenue&amp;EBITDA'!AB75 - 1, "")</f>
        <v/>
      </c>
      <c r="AC79" s="63" t="str">
        <f>iferror('Quarterly Revenue&amp;EBITDA'!AC79/'Quarterly Revenue&amp;EBITDA'!AC75 - 1, "")</f>
        <v/>
      </c>
      <c r="AD79" s="43"/>
    </row>
    <row r="80">
      <c r="A80" s="42" t="s">
        <v>107</v>
      </c>
      <c r="B80" s="63">
        <f>iferror('Quarterly Revenue&amp;EBITDA'!B80/'Quarterly Revenue&amp;EBITDA'!B76 - 1, "")</f>
        <v>0.8014169118</v>
      </c>
      <c r="C80" s="63">
        <f>iferror('Quarterly Revenue&amp;EBITDA'!C80 * 1000/'Quarterly Revenue&amp;EBITDA'!C76 - 1, "")</f>
        <v>0.1084143982</v>
      </c>
      <c r="D80" s="63">
        <f>iferror('Quarterly Revenue&amp;EBITDA'!D80 * 1000/'Quarterly Revenue&amp;EBITDA'!D76 - 1, "")</f>
        <v>0.3164842138</v>
      </c>
      <c r="E80" s="63">
        <f>iferror('Quarterly Revenue&amp;EBITDA'!E80 * 1000/'Quarterly Revenue&amp;EBITDA'!E76 - 1, "")</f>
        <v>0.6297898905</v>
      </c>
      <c r="F80" s="63">
        <f>iferror('Quarterly Revenue&amp;EBITDA'!F80 * 1000/'Quarterly Revenue&amp;EBITDA'!F76 - 1, "")</f>
        <v>0.04825737265</v>
      </c>
      <c r="G80" s="63">
        <f>iferror('Quarterly Revenue&amp;EBITDA'!G80 * 1000/'Quarterly Revenue&amp;EBITDA'!G76 - 1, "")</f>
        <v>0.3337828952</v>
      </c>
      <c r="H80" s="63">
        <f>iferror('Quarterly Revenue&amp;EBITDA'!H80/'Quarterly Revenue&amp;EBITDA'!H76 - 1, "")</f>
        <v>-0.01371024011</v>
      </c>
      <c r="I80" s="63">
        <f>iferror('Quarterly Revenue&amp;EBITDA'!I80 * 1000/'Quarterly Revenue&amp;EBITDA'!I76 - 1, "")</f>
        <v>-0.06096829345</v>
      </c>
      <c r="J80" s="63">
        <f>iferror('Quarterly Revenue&amp;EBITDA'!J80 * 1000/'Quarterly Revenue&amp;EBITDA'!J76 - 1, "")</f>
        <v>0.4359120415</v>
      </c>
      <c r="K80" s="63" t="str">
        <f>iferror('Quarterly Revenue&amp;EBITDA'!K80/'Quarterly Revenue&amp;EBITDA'!K76 - 1, "")</f>
        <v/>
      </c>
      <c r="L80" s="63">
        <f>iferror('Quarterly Revenue&amp;EBITDA'!L80/'Quarterly Revenue&amp;EBITDA'!L76 - 1, "")</f>
        <v>-0.998773061</v>
      </c>
      <c r="M80" s="63" t="str">
        <f>iferror('Quarterly Revenue&amp;EBITDA'!M80/'Quarterly Revenue&amp;EBITDA'!M76 - 1, "")</f>
        <v/>
      </c>
      <c r="N80" s="63" t="str">
        <f>iferror('Quarterly Revenue&amp;EBITDA'!N80/'Quarterly Revenue&amp;EBITDA'!N76 - 1, "")</f>
        <v/>
      </c>
      <c r="O80" s="63">
        <f>iferror('Quarterly Revenue&amp;EBITDA'!O80/'Quarterly Revenue&amp;EBITDA'!O76 - 1, "")</f>
        <v>0.2534698695</v>
      </c>
      <c r="P80" s="63" t="str">
        <f>iferror('Quarterly Revenue&amp;EBITDA'!P80/'Quarterly Revenue&amp;EBITDA'!P76 - 1, "")</f>
        <v/>
      </c>
      <c r="Q80" s="63" t="str">
        <f>iferror('Quarterly Revenue&amp;EBITDA'!Q80/'Quarterly Revenue&amp;EBITDA'!Q76 - 1, "")</f>
        <v/>
      </c>
      <c r="R80" s="63"/>
      <c r="S80" s="63">
        <f>iferror('Quarterly Revenue&amp;EBITDA'!S80/'Quarterly Revenue&amp;EBITDA'!S76 - 1, "")</f>
        <v>0.01414450571</v>
      </c>
      <c r="T80" s="63" t="str">
        <f>iferror('Quarterly Revenue&amp;EBITDA'!T80/'Quarterly Revenue&amp;EBITDA'!T76 - 1, "")</f>
        <v/>
      </c>
      <c r="U80" s="63" t="str">
        <f>iferror('Quarterly Revenue&amp;EBITDA'!U80/'Quarterly Revenue&amp;EBITDA'!U76 - 1, "")</f>
        <v/>
      </c>
      <c r="V80" s="62"/>
      <c r="W80" s="62"/>
      <c r="X80" s="63">
        <f>iferror('Quarterly Revenue&amp;EBITDA'!X80/'Quarterly Revenue&amp;EBITDA'!X76 - 1, "")</f>
        <v>0.07869100268</v>
      </c>
      <c r="Y80" s="63">
        <f>iferror('Quarterly Revenue&amp;EBITDA'!Y80/'Quarterly Revenue&amp;EBITDA'!Y76 - 1, "")</f>
        <v>0.1955516958</v>
      </c>
      <c r="Z80" s="63">
        <f>iferror('Quarterly Revenue&amp;EBITDA'!Z80/'Quarterly Revenue&amp;EBITDA'!Z76 - 1, "")</f>
        <v>0.4170744762</v>
      </c>
      <c r="AA80" s="63">
        <f>iferror('Quarterly Revenue&amp;EBITDA'!AA80/'Quarterly Revenue&amp;EBITDA'!AA76 - 1, "")</f>
        <v>2.787046417</v>
      </c>
      <c r="AB80" s="63" t="str">
        <f>iferror('Quarterly Revenue&amp;EBITDA'!AB80/'Quarterly Revenue&amp;EBITDA'!AB76 - 1, "")</f>
        <v/>
      </c>
      <c r="AC80" s="63" t="str">
        <f>iferror('Quarterly Revenue&amp;EBITDA'!AC80/'Quarterly Revenue&amp;EBITDA'!AC76 - 1, "")</f>
        <v/>
      </c>
      <c r="AD80" s="43"/>
    </row>
    <row r="81">
      <c r="A81" s="42" t="s">
        <v>108</v>
      </c>
      <c r="B81" s="63">
        <f>iferror('Quarterly Revenue&amp;EBITDA'!B81/'Quarterly Revenue&amp;EBITDA'!B77 - 1, "")</f>
        <v>0.8014169118</v>
      </c>
      <c r="C81" s="63">
        <f>iferror('Quarterly Revenue&amp;EBITDA'!C81 * 1000/'Quarterly Revenue&amp;EBITDA'!C77 - 1, "")</f>
        <v>0.6006093677</v>
      </c>
      <c r="D81" s="63">
        <f>iferror('Quarterly Revenue&amp;EBITDA'!D81 * 1000/'Quarterly Revenue&amp;EBITDA'!D77 - 1, "")</f>
        <v>0.5472885956</v>
      </c>
      <c r="E81" s="63">
        <f>iferror('Quarterly Revenue&amp;EBITDA'!E81 * 1000/'Quarterly Revenue&amp;EBITDA'!E77 - 1, "")</f>
        <v>1.025323694</v>
      </c>
      <c r="F81" s="63">
        <f>iferror('Quarterly Revenue&amp;EBITDA'!F81 * 1000/'Quarterly Revenue&amp;EBITDA'!F77 - 1, "")</f>
        <v>0.1286863271</v>
      </c>
      <c r="G81" s="63">
        <f>iferror('Quarterly Revenue&amp;EBITDA'!G81 * 1000/'Quarterly Revenue&amp;EBITDA'!G77 - 1, "")</f>
        <v>0.8404713693</v>
      </c>
      <c r="H81" s="63">
        <f>iferror('Quarterly Revenue&amp;EBITDA'!H81/'Quarterly Revenue&amp;EBITDA'!H77 - 1, "")</f>
        <v>-0.01371024011</v>
      </c>
      <c r="I81" s="63">
        <f>iferror('Quarterly Revenue&amp;EBITDA'!I81 * 1000/'Quarterly Revenue&amp;EBITDA'!I77 - 1, "")</f>
        <v>0.005427887819</v>
      </c>
      <c r="J81" s="63">
        <f>iferror('Quarterly Revenue&amp;EBITDA'!J81 * 1000/'Quarterly Revenue&amp;EBITDA'!J77 - 1, "")</f>
        <v>-0.01503554179</v>
      </c>
      <c r="K81" s="63" t="str">
        <f>iferror('Quarterly Revenue&amp;EBITDA'!K81/'Quarterly Revenue&amp;EBITDA'!K77 - 1, "")</f>
        <v/>
      </c>
      <c r="L81" s="63">
        <f>iferror('Quarterly Revenue&amp;EBITDA'!L81/'Quarterly Revenue&amp;EBITDA'!L77 - 1, "")</f>
        <v>-0.998966438</v>
      </c>
      <c r="M81" s="63" t="str">
        <f>iferror('Quarterly Revenue&amp;EBITDA'!M81/'Quarterly Revenue&amp;EBITDA'!M77 - 1, "")</f>
        <v/>
      </c>
      <c r="N81" s="63" t="str">
        <f>iferror('Quarterly Revenue&amp;EBITDA'!N81/'Quarterly Revenue&amp;EBITDA'!N77 - 1, "")</f>
        <v/>
      </c>
      <c r="O81" s="63">
        <f>iferror('Quarterly Revenue&amp;EBITDA'!O81/'Quarterly Revenue&amp;EBITDA'!O77 - 1, "")</f>
        <v>0.3862068966</v>
      </c>
      <c r="P81" s="63" t="str">
        <f>iferror('Quarterly Revenue&amp;EBITDA'!P81/'Quarterly Revenue&amp;EBITDA'!P77 - 1, "")</f>
        <v/>
      </c>
      <c r="Q81" s="63" t="str">
        <f>iferror('Quarterly Revenue&amp;EBITDA'!Q81/'Quarterly Revenue&amp;EBITDA'!Q77 - 1, "")</f>
        <v/>
      </c>
      <c r="R81" s="63"/>
      <c r="S81" s="63">
        <f>iferror('Quarterly Revenue&amp;EBITDA'!S81/'Quarterly Revenue&amp;EBITDA'!S77 - 1, "")</f>
        <v>0.01414450571</v>
      </c>
      <c r="T81" s="63" t="str">
        <f>iferror('Quarterly Revenue&amp;EBITDA'!T81/'Quarterly Revenue&amp;EBITDA'!T77 - 1, "")</f>
        <v/>
      </c>
      <c r="U81" s="63" t="str">
        <f>iferror('Quarterly Revenue&amp;EBITDA'!U81/'Quarterly Revenue&amp;EBITDA'!U77 - 1, "")</f>
        <v/>
      </c>
      <c r="V81" s="62"/>
      <c r="W81" s="62"/>
      <c r="X81" s="63">
        <f>iferror('Quarterly Revenue&amp;EBITDA'!X81/'Quarterly Revenue&amp;EBITDA'!X77 - 1, "")</f>
        <v>0.04018750868</v>
      </c>
      <c r="Y81" s="63">
        <f>iferror('Quarterly Revenue&amp;EBITDA'!Y81/'Quarterly Revenue&amp;EBITDA'!Y77 - 1, "")</f>
        <v>0.1955516958</v>
      </c>
      <c r="Z81" s="63">
        <f>iferror('Quarterly Revenue&amp;EBITDA'!Z81/'Quarterly Revenue&amp;EBITDA'!Z77 - 1, "")</f>
        <v>0.4170744762</v>
      </c>
      <c r="AA81" s="63">
        <f>iferror('Quarterly Revenue&amp;EBITDA'!AA81/'Quarterly Revenue&amp;EBITDA'!AA77 - 1, "")</f>
        <v>2.787046417</v>
      </c>
      <c r="AB81" s="63" t="str">
        <f>iferror('Quarterly Revenue&amp;EBITDA'!AB81/'Quarterly Revenue&amp;EBITDA'!AB77 - 1, "")</f>
        <v/>
      </c>
      <c r="AC81" s="63" t="str">
        <f>iferror('Quarterly Revenue&amp;EBITDA'!AC81/'Quarterly Revenue&amp;EBITDA'!AC77 - 1, "")</f>
        <v/>
      </c>
      <c r="AD81" s="43"/>
    </row>
    <row r="82">
      <c r="A82" s="42" t="s">
        <v>109</v>
      </c>
      <c r="B82" s="63">
        <f>iferror('Quarterly Revenue&amp;EBITDA'!B82/'Quarterly Revenue&amp;EBITDA'!B78 - 1, "")</f>
        <v>0.8014169118</v>
      </c>
      <c r="C82" s="63">
        <f>iferror('Quarterly Revenue&amp;EBITDA'!C82 * 1000/'Quarterly Revenue&amp;EBITDA'!C78 - 1, "")</f>
        <v>0.0182147915</v>
      </c>
      <c r="D82" s="63">
        <f>iferror('Quarterly Revenue&amp;EBITDA'!D82 * 1000/'Quarterly Revenue&amp;EBITDA'!D78 - 1, "")</f>
        <v>0.254736548</v>
      </c>
      <c r="E82" s="63">
        <f>iferror('Quarterly Revenue&amp;EBITDA'!E82 * 1000/'Quarterly Revenue&amp;EBITDA'!E78 - 1, "")</f>
        <v>0.7775193835</v>
      </c>
      <c r="F82" s="63">
        <f>iferror('Quarterly Revenue&amp;EBITDA'!F82 * 1000/'Quarterly Revenue&amp;EBITDA'!F78 - 1, "")</f>
        <v>-0.1528150134</v>
      </c>
      <c r="G82" s="63">
        <f>iferror('Quarterly Revenue&amp;EBITDA'!G82 * 1000/'Quarterly Revenue&amp;EBITDA'!G78 - 1, "")</f>
        <v>0.2592698843</v>
      </c>
      <c r="H82" s="63">
        <f>iferror('Quarterly Revenue&amp;EBITDA'!H82/'Quarterly Revenue&amp;EBITDA'!H78 - 1, "")</f>
        <v>-0.01371024011</v>
      </c>
      <c r="I82" s="63">
        <f>iferror('Quarterly Revenue&amp;EBITDA'!I82 * 1000/'Quarterly Revenue&amp;EBITDA'!I78 - 1, "")</f>
        <v>0.05285373158</v>
      </c>
      <c r="J82" s="63">
        <f>iferror('Quarterly Revenue&amp;EBITDA'!J82 * 1000/'Quarterly Revenue&amp;EBITDA'!J78 - 1, "")</f>
        <v>0.4596461248</v>
      </c>
      <c r="K82" s="63" t="str">
        <f>iferror('Quarterly Revenue&amp;EBITDA'!K82/'Quarterly Revenue&amp;EBITDA'!K78 - 1, "")</f>
        <v/>
      </c>
      <c r="L82" s="63">
        <f>iferror('Quarterly Revenue&amp;EBITDA'!L82/'Quarterly Revenue&amp;EBITDA'!L78 - 1, "")</f>
        <v>-0.9990824952</v>
      </c>
      <c r="M82" s="63" t="str">
        <f>iferror('Quarterly Revenue&amp;EBITDA'!M82/'Quarterly Revenue&amp;EBITDA'!M78 - 1, "")</f>
        <v/>
      </c>
      <c r="N82" s="63" t="str">
        <f>iferror('Quarterly Revenue&amp;EBITDA'!N82/'Quarterly Revenue&amp;EBITDA'!N78 - 1, "")</f>
        <v/>
      </c>
      <c r="O82" s="63">
        <f>iferror('Quarterly Revenue&amp;EBITDA'!O82/'Quarterly Revenue&amp;EBITDA'!O78 - 1, "")</f>
        <v>0.3862068966</v>
      </c>
      <c r="P82" s="63" t="str">
        <f>iferror('Quarterly Revenue&amp;EBITDA'!P82/'Quarterly Revenue&amp;EBITDA'!P78 - 1, "")</f>
        <v/>
      </c>
      <c r="Q82" s="63" t="str">
        <f>iferror('Quarterly Revenue&amp;EBITDA'!Q82/'Quarterly Revenue&amp;EBITDA'!Q78 - 1, "")</f>
        <v/>
      </c>
      <c r="R82" s="63"/>
      <c r="S82" s="63">
        <f>iferror('Quarterly Revenue&amp;EBITDA'!S82/'Quarterly Revenue&amp;EBITDA'!S78 - 1, "")</f>
        <v>0.01414450571</v>
      </c>
      <c r="T82" s="63" t="str">
        <f>iferror('Quarterly Revenue&amp;EBITDA'!T82/'Quarterly Revenue&amp;EBITDA'!T78 - 1, "")</f>
        <v/>
      </c>
      <c r="U82" s="63" t="str">
        <f>iferror('Quarterly Revenue&amp;EBITDA'!U82/'Quarterly Revenue&amp;EBITDA'!U78 - 1, "")</f>
        <v/>
      </c>
      <c r="V82" s="62"/>
      <c r="W82" s="62"/>
      <c r="X82" s="63">
        <f>iferror('Quarterly Revenue&amp;EBITDA'!X82/'Quarterly Revenue&amp;EBITDA'!X78 - 1, "")</f>
        <v>0.04018750868</v>
      </c>
      <c r="Y82" s="63">
        <f>iferror('Quarterly Revenue&amp;EBITDA'!Y82/'Quarterly Revenue&amp;EBITDA'!Y78 - 1, "")</f>
        <v>0.1955516958</v>
      </c>
      <c r="Z82" s="63">
        <f>iferror('Quarterly Revenue&amp;EBITDA'!Z82/'Quarterly Revenue&amp;EBITDA'!Z78 - 1, "")</f>
        <v>0.4170744762</v>
      </c>
      <c r="AA82" s="63">
        <f>iferror('Quarterly Revenue&amp;EBITDA'!AA82/'Quarterly Revenue&amp;EBITDA'!AA78 - 1, "")</f>
        <v>2.787046417</v>
      </c>
      <c r="AB82" s="63" t="str">
        <f>iferror('Quarterly Revenue&amp;EBITDA'!AB82/'Quarterly Revenue&amp;EBITDA'!AB78 - 1, "")</f>
        <v/>
      </c>
      <c r="AC82" s="63" t="str">
        <f>iferror('Quarterly Revenue&amp;EBITDA'!AC82/'Quarterly Revenue&amp;EBITDA'!AC78 - 1, "")</f>
        <v/>
      </c>
      <c r="AD82" s="43"/>
    </row>
    <row r="83">
      <c r="A83" s="42" t="s">
        <v>110</v>
      </c>
      <c r="B83" s="63">
        <f>iferror('Quarterly Revenue&amp;EBITDA'!B83/'Quarterly Revenue&amp;EBITDA'!B79 - 1, "")</f>
        <v>0.5473291471</v>
      </c>
      <c r="C83" s="63">
        <f>iferror('Quarterly Revenue&amp;EBITDA'!C83/'Quarterly Revenue&amp;EBITDA'!C79 - 1, "")</f>
        <v>0.1263519553</v>
      </c>
      <c r="D83" s="63">
        <f>iferror('Quarterly Revenue&amp;EBITDA'!D83/'Quarterly Revenue&amp;EBITDA'!D79 - 1, "")</f>
        <v>0.1496848739</v>
      </c>
      <c r="E83" s="63">
        <f>iferror('Quarterly Revenue&amp;EBITDA'!E83/'Quarterly Revenue&amp;EBITDA'!E79 - 1, "")</f>
        <v>0.3064516129</v>
      </c>
      <c r="F83" s="63">
        <f>iferror('Quarterly Revenue&amp;EBITDA'!F83/'Quarterly Revenue&amp;EBITDA'!F79 - 1, "")</f>
        <v>0.05681818182</v>
      </c>
      <c r="G83" s="63">
        <f>iferror('Quarterly Revenue&amp;EBITDA'!G83/'Quarterly Revenue&amp;EBITDA'!G79 - 1, "")</f>
        <v>0.6790715182</v>
      </c>
      <c r="H83" s="63">
        <f>iferror('Quarterly Revenue&amp;EBITDA'!H83/'Quarterly Revenue&amp;EBITDA'!H79 - 1, "")</f>
        <v>-0.01371024011</v>
      </c>
      <c r="I83" s="63">
        <f>iferror('Quarterly Revenue&amp;EBITDA'!I83/'Quarterly Revenue&amp;EBITDA'!I79 - 1, "")</f>
        <v>0.3157789474</v>
      </c>
      <c r="J83" s="63">
        <f>iferror('Quarterly Revenue&amp;EBITDA'!J83/'Quarterly Revenue&amp;EBITDA'!J79 - 1, "")</f>
        <v>0.3640113636</v>
      </c>
      <c r="K83" s="63" t="str">
        <f>iferror('Quarterly Revenue&amp;EBITDA'!K83/'Quarterly Revenue&amp;EBITDA'!K79 - 1, "")</f>
        <v/>
      </c>
      <c r="L83" s="63">
        <f>iferror('Quarterly Revenue&amp;EBITDA'!L83/'Quarterly Revenue&amp;EBITDA'!L79 - 1, "")</f>
        <v>-0.1085698308</v>
      </c>
      <c r="M83" s="63" t="str">
        <f>iferror('Quarterly Revenue&amp;EBITDA'!M83/'Quarterly Revenue&amp;EBITDA'!M79 - 1, "")</f>
        <v/>
      </c>
      <c r="N83" s="63">
        <f>iferror('Quarterly Revenue&amp;EBITDA'!N83/'Quarterly Revenue&amp;EBITDA'!N79 - 1, "")</f>
        <v>0.2599620493</v>
      </c>
      <c r="O83" s="63">
        <f>iferror('Quarterly Revenue&amp;EBITDA'!O83/'Quarterly Revenue&amp;EBITDA'!O79 - 1, "")</f>
        <v>0.3862068966</v>
      </c>
      <c r="P83" s="63" t="str">
        <f>iferror('Quarterly Revenue&amp;EBITDA'!P83/'Quarterly Revenue&amp;EBITDA'!P79 - 1, "")</f>
        <v/>
      </c>
      <c r="Q83" s="63" t="str">
        <f>iferror('Quarterly Revenue&amp;EBITDA'!Q83/'Quarterly Revenue&amp;EBITDA'!Q79 - 1, "")</f>
        <v/>
      </c>
      <c r="R83" s="63"/>
      <c r="S83" s="63">
        <f>iferror('Quarterly Revenue&amp;EBITDA'!S83/'Quarterly Revenue&amp;EBITDA'!S79 - 1, "")</f>
        <v>0.1259893646</v>
      </c>
      <c r="T83" s="63" t="str">
        <f>iferror('Quarterly Revenue&amp;EBITDA'!T83/'Quarterly Revenue&amp;EBITDA'!T79 - 1, "")</f>
        <v/>
      </c>
      <c r="U83" s="63" t="str">
        <f>iferror('Quarterly Revenue&amp;EBITDA'!U83/'Quarterly Revenue&amp;EBITDA'!U79 - 1, "")</f>
        <v/>
      </c>
      <c r="V83" s="62"/>
      <c r="W83" s="62"/>
      <c r="X83" s="63">
        <f>iferror('Quarterly Revenue&amp;EBITDA'!X83/'Quarterly Revenue&amp;EBITDA'!X79 - 1, "")</f>
        <v>0.04018750868</v>
      </c>
      <c r="Y83" s="63">
        <f>iferror('Quarterly Revenue&amp;EBITDA'!Y83/'Quarterly Revenue&amp;EBITDA'!Y79 - 1, "")</f>
        <v>0.4857800511</v>
      </c>
      <c r="Z83" s="63">
        <f>iferror('Quarterly Revenue&amp;EBITDA'!Z83/'Quarterly Revenue&amp;EBITDA'!Z79 - 1, "")</f>
        <v>0.3364629705</v>
      </c>
      <c r="AA83" s="63">
        <f>iferror('Quarterly Revenue&amp;EBITDA'!AA83/'Quarterly Revenue&amp;EBITDA'!AA79 - 1, "")</f>
        <v>1.617902589</v>
      </c>
      <c r="AB83" s="63" t="str">
        <f>iferror('Quarterly Revenue&amp;EBITDA'!AB83/'Quarterly Revenue&amp;EBITDA'!AB79 - 1, "")</f>
        <v/>
      </c>
      <c r="AC83" s="63">
        <f>iferror('Quarterly Revenue&amp;EBITDA'!AC83/'Quarterly Revenue&amp;EBITDA'!AC79 - 1, "")</f>
        <v>0.5877669646</v>
      </c>
      <c r="AD83" s="43"/>
    </row>
    <row r="84">
      <c r="A84" s="42" t="s">
        <v>111</v>
      </c>
      <c r="B84" s="63">
        <f>iferror('Quarterly Revenue&amp;EBITDA'!B84/'Quarterly Revenue&amp;EBITDA'!B80 - 1, "")</f>
        <v>0.5473291471</v>
      </c>
      <c r="C84" s="63">
        <f>iferror('Quarterly Revenue&amp;EBITDA'!C84/'Quarterly Revenue&amp;EBITDA'!C80 - 1, "")</f>
        <v>0.1833161189</v>
      </c>
      <c r="D84" s="63">
        <f>iferror('Quarterly Revenue&amp;EBITDA'!D84/'Quarterly Revenue&amp;EBITDA'!D80 - 1, "")</f>
        <v>0.1775956284</v>
      </c>
      <c r="E84" s="63">
        <f>iferror('Quarterly Revenue&amp;EBITDA'!E84/'Quarterly Revenue&amp;EBITDA'!E80 - 1, "")</f>
        <v>0.3932748538</v>
      </c>
      <c r="F84" s="63">
        <f>iferror('Quarterly Revenue&amp;EBITDA'!F84/'Quarterly Revenue&amp;EBITDA'!F80 - 1, "")</f>
        <v>0.08439897698</v>
      </c>
      <c r="G84" s="63">
        <f>iferror('Quarterly Revenue&amp;EBITDA'!G84/'Quarterly Revenue&amp;EBITDA'!G80 - 1, "")</f>
        <v>0.6666815642</v>
      </c>
      <c r="H84" s="63">
        <f>iferror('Quarterly Revenue&amp;EBITDA'!H84 * 1000/'Quarterly Revenue&amp;EBITDA'!H80 - 1, "")</f>
        <v>0.1385180272</v>
      </c>
      <c r="I84" s="63">
        <f>iferror('Quarterly Revenue&amp;EBITDA'!I84/'Quarterly Revenue&amp;EBITDA'!I80 - 1, "")</f>
        <v>0.2464949495</v>
      </c>
      <c r="J84" s="63">
        <f>iferror('Quarterly Revenue&amp;EBITDA'!J84/'Quarterly Revenue&amp;EBITDA'!J80 - 1, "")</f>
        <v>0.5872396694</v>
      </c>
      <c r="K84" s="63" t="str">
        <f>iferror('Quarterly Revenue&amp;EBITDA'!K84/'Quarterly Revenue&amp;EBITDA'!K80 - 1, "")</f>
        <v/>
      </c>
      <c r="L84" s="63">
        <f>iferror('Quarterly Revenue&amp;EBITDA'!L84/'Quarterly Revenue&amp;EBITDA'!L80 - 1, "")</f>
        <v>-0.07705224581</v>
      </c>
      <c r="M84" s="63" t="str">
        <f>iferror('Quarterly Revenue&amp;EBITDA'!M84/'Quarterly Revenue&amp;EBITDA'!M80 - 1, "")</f>
        <v/>
      </c>
      <c r="N84" s="63">
        <f>iferror('Quarterly Revenue&amp;EBITDA'!N84/'Quarterly Revenue&amp;EBITDA'!N80 - 1, "")</f>
        <v>0.3508299686</v>
      </c>
      <c r="O84" s="63">
        <f>iferror('Quarterly Revenue&amp;EBITDA'!O84/'Quarterly Revenue&amp;EBITDA'!O80 - 1, "")</f>
        <v>0.3862068966</v>
      </c>
      <c r="P84" s="63" t="str">
        <f>iferror('Quarterly Revenue&amp;EBITDA'!P84/'Quarterly Revenue&amp;EBITDA'!P80 - 1, "")</f>
        <v/>
      </c>
      <c r="Q84" s="63" t="str">
        <f>iferror('Quarterly Revenue&amp;EBITDA'!Q84/'Quarterly Revenue&amp;EBITDA'!Q80 - 1, "")</f>
        <v/>
      </c>
      <c r="R84" s="63"/>
      <c r="S84" s="63">
        <f>iferror('Quarterly Revenue&amp;EBITDA'!S84/'Quarterly Revenue&amp;EBITDA'!S80 - 1, "")</f>
        <v>0.1259893646</v>
      </c>
      <c r="T84" s="63">
        <f>iferror('Quarterly Revenue&amp;EBITDA'!T84/'Quarterly Revenue&amp;EBITDA'!T80 - 1, "")</f>
        <v>0.9641298833</v>
      </c>
      <c r="U84" s="63" t="str">
        <f>iferror('Quarterly Revenue&amp;EBITDA'!U84/'Quarterly Revenue&amp;EBITDA'!U80 - 1, "")</f>
        <v/>
      </c>
      <c r="V84" s="62"/>
      <c r="W84" s="62"/>
      <c r="X84" s="63">
        <f>iferror('Quarterly Revenue&amp;EBITDA'!X84/'Quarterly Revenue&amp;EBITDA'!X80 - 1, "")</f>
        <v>0.04018750868</v>
      </c>
      <c r="Y84" s="63">
        <f>iferror('Quarterly Revenue&amp;EBITDA'!Y84/'Quarterly Revenue&amp;EBITDA'!Y80 - 1, "")</f>
        <v>0.4857800511</v>
      </c>
      <c r="Z84" s="63">
        <f>iferror('Quarterly Revenue&amp;EBITDA'!Z84/'Quarterly Revenue&amp;EBITDA'!Z80 - 1, "")</f>
        <v>0.3364629705</v>
      </c>
      <c r="AA84" s="63">
        <f>iferror('Quarterly Revenue&amp;EBITDA'!AA84/'Quarterly Revenue&amp;EBITDA'!AA80 - 1, "")</f>
        <v>1.617902589</v>
      </c>
      <c r="AB84" s="63" t="str">
        <f>iferror('Quarterly Revenue&amp;EBITDA'!AB84/'Quarterly Revenue&amp;EBITDA'!AB80 - 1, "")</f>
        <v/>
      </c>
      <c r="AC84" s="63">
        <f>iferror('Quarterly Revenue&amp;EBITDA'!AC84/'Quarterly Revenue&amp;EBITDA'!AC80 - 1, "")</f>
        <v>0.5877669646</v>
      </c>
      <c r="AD84" s="43"/>
    </row>
    <row r="85">
      <c r="A85" s="42" t="s">
        <v>112</v>
      </c>
      <c r="B85" s="63">
        <f>iferror('Quarterly Revenue&amp;EBITDA'!B85/'Quarterly Revenue&amp;EBITDA'!B81 - 1, "")</f>
        <v>0.5473291471</v>
      </c>
      <c r="C85" s="63">
        <f>iferror('Quarterly Revenue&amp;EBITDA'!C85/'Quarterly Revenue&amp;EBITDA'!C81 - 1, "")</f>
        <v>0.2013083175</v>
      </c>
      <c r="D85" s="63">
        <f>iferror('Quarterly Revenue&amp;EBITDA'!D85/'Quarterly Revenue&amp;EBITDA'!D81 - 1, "")</f>
        <v>0.1491669895</v>
      </c>
      <c r="E85" s="63">
        <f>iferror('Quarterly Revenue&amp;EBITDA'!E85/'Quarterly Revenue&amp;EBITDA'!E81 - 1, "")</f>
        <v>0.4070588235</v>
      </c>
      <c r="F85" s="63">
        <f>iferror('Quarterly Revenue&amp;EBITDA'!F85/'Quarterly Revenue&amp;EBITDA'!F81 - 1, "")</f>
        <v>0.04275534442</v>
      </c>
      <c r="G85" s="63">
        <f>iferror('Quarterly Revenue&amp;EBITDA'!G85/'Quarterly Revenue&amp;EBITDA'!G81 - 1, "")</f>
        <v>0.1654251012</v>
      </c>
      <c r="H85" s="63">
        <f>iferror('Quarterly Revenue&amp;EBITDA'!H85 * 1000/'Quarterly Revenue&amp;EBITDA'!H81 - 1, "")</f>
        <v>0.09284196968</v>
      </c>
      <c r="I85" s="63">
        <f>iferror('Quarterly Revenue&amp;EBITDA'!I85/'Quarterly Revenue&amp;EBITDA'!I81 - 1, "")</f>
        <v>0.2402641509</v>
      </c>
      <c r="J85" s="63">
        <f>iferror('Quarterly Revenue&amp;EBITDA'!J85/'Quarterly Revenue&amp;EBITDA'!J81 - 1, "")</f>
        <v>0.842373494</v>
      </c>
      <c r="K85" s="63" t="str">
        <f>iferror('Quarterly Revenue&amp;EBITDA'!K85/'Quarterly Revenue&amp;EBITDA'!K81 - 1, "")</f>
        <v/>
      </c>
      <c r="L85" s="63">
        <f>iferror('Quarterly Revenue&amp;EBITDA'!L85/'Quarterly Revenue&amp;EBITDA'!L81 - 1, "")</f>
        <v>-0.06577544873</v>
      </c>
      <c r="M85" s="63" t="str">
        <f>iferror('Quarterly Revenue&amp;EBITDA'!M85/'Quarterly Revenue&amp;EBITDA'!M81 - 1, "")</f>
        <v/>
      </c>
      <c r="N85" s="63">
        <f>iferror('Quarterly Revenue&amp;EBITDA'!N85/'Quarterly Revenue&amp;EBITDA'!N81 - 1, "")</f>
        <v>0.2622377622</v>
      </c>
      <c r="O85" s="63">
        <f>iferror('Quarterly Revenue&amp;EBITDA'!O85/'Quarterly Revenue&amp;EBITDA'!O81 - 1, "")</f>
        <v>2.539445629</v>
      </c>
      <c r="P85" s="63" t="str">
        <f>iferror('Quarterly Revenue&amp;EBITDA'!P85/'Quarterly Revenue&amp;EBITDA'!P81 - 1, "")</f>
        <v/>
      </c>
      <c r="Q85" s="63" t="str">
        <f>iferror('Quarterly Revenue&amp;EBITDA'!Q85/'Quarterly Revenue&amp;EBITDA'!Q81 - 1, "")</f>
        <v/>
      </c>
      <c r="R85" s="63"/>
      <c r="S85" s="63">
        <f>iferror('Quarterly Revenue&amp;EBITDA'!S85/'Quarterly Revenue&amp;EBITDA'!S81 - 1, "")</f>
        <v>0.1259893646</v>
      </c>
      <c r="T85" s="63">
        <f>iferror('Quarterly Revenue&amp;EBITDA'!T85/'Quarterly Revenue&amp;EBITDA'!T81 - 1, "")</f>
        <v>0.9641298833</v>
      </c>
      <c r="U85" s="63" t="str">
        <f>iferror('Quarterly Revenue&amp;EBITDA'!U85/'Quarterly Revenue&amp;EBITDA'!U81 - 1, "")</f>
        <v/>
      </c>
      <c r="V85" s="62"/>
      <c r="W85" s="62"/>
      <c r="X85" s="63">
        <f>iferror('Quarterly Revenue&amp;EBITDA'!X85/'Quarterly Revenue&amp;EBITDA'!X81 - 1, "")</f>
        <v>0.06165249484</v>
      </c>
      <c r="Y85" s="63">
        <f>iferror('Quarterly Revenue&amp;EBITDA'!Y85/'Quarterly Revenue&amp;EBITDA'!Y81 - 1, "")</f>
        <v>0.4857800511</v>
      </c>
      <c r="Z85" s="63">
        <f>iferror('Quarterly Revenue&amp;EBITDA'!Z85/'Quarterly Revenue&amp;EBITDA'!Z81 - 1, "")</f>
        <v>0.3364629705</v>
      </c>
      <c r="AA85" s="63">
        <f>iferror('Quarterly Revenue&amp;EBITDA'!AA85/'Quarterly Revenue&amp;EBITDA'!AA81 - 1, "")</f>
        <v>1.617902589</v>
      </c>
      <c r="AB85" s="63" t="str">
        <f>iferror('Quarterly Revenue&amp;EBITDA'!AB85/'Quarterly Revenue&amp;EBITDA'!AB81 - 1, "")</f>
        <v/>
      </c>
      <c r="AC85" s="63">
        <f>iferror('Quarterly Revenue&amp;EBITDA'!AC85/'Quarterly Revenue&amp;EBITDA'!AC81 - 1, "")</f>
        <v>0.5877669646</v>
      </c>
      <c r="AD85" s="43"/>
    </row>
    <row r="86">
      <c r="A86" s="42" t="s">
        <v>113</v>
      </c>
      <c r="B86" s="63">
        <f>iferror('Quarterly Revenue&amp;EBITDA'!B86/'Quarterly Revenue&amp;EBITDA'!B82 - 1, "")</f>
        <v>0.5473291471</v>
      </c>
      <c r="C86" s="63">
        <f>iferror('Quarterly Revenue&amp;EBITDA'!C86/'Quarterly Revenue&amp;EBITDA'!C82 - 1, "")</f>
        <v>0.1937819421</v>
      </c>
      <c r="D86" s="63">
        <f>iferror('Quarterly Revenue&amp;EBITDA'!D86/'Quarterly Revenue&amp;EBITDA'!D82 - 1, "")</f>
        <v>0.1079789775</v>
      </c>
      <c r="E86" s="63">
        <f>iferror('Quarterly Revenue&amp;EBITDA'!E86/'Quarterly Revenue&amp;EBITDA'!E82 - 1, "")</f>
        <v>0.3243967828</v>
      </c>
      <c r="F86" s="63">
        <f>iferror('Quarterly Revenue&amp;EBITDA'!F86/'Quarterly Revenue&amp;EBITDA'!F82 - 1, "")</f>
        <v>0.01582278481</v>
      </c>
      <c r="G86" s="63">
        <f>iferror('Quarterly Revenue&amp;EBITDA'!G86/'Quarterly Revenue&amp;EBITDA'!G82 - 1, "")</f>
        <v>0.07421893491</v>
      </c>
      <c r="H86" s="63">
        <f>iferror('Quarterly Revenue&amp;EBITDA'!H86 * 1000/'Quarterly Revenue&amp;EBITDA'!H82 - 1, "")</f>
        <v>-0.03657352673</v>
      </c>
      <c r="I86" s="63">
        <f>iferror('Quarterly Revenue&amp;EBITDA'!I86/'Quarterly Revenue&amp;EBITDA'!I82 - 1, "")</f>
        <v>0.2973963964</v>
      </c>
      <c r="J86" s="63">
        <f>iferror('Quarterly Revenue&amp;EBITDA'!J86/'Quarterly Revenue&amp;EBITDA'!J82 - 1, "")</f>
        <v>0.4022520325</v>
      </c>
      <c r="K86" s="63" t="str">
        <f>iferror('Quarterly Revenue&amp;EBITDA'!K86/'Quarterly Revenue&amp;EBITDA'!K82 - 1, "")</f>
        <v/>
      </c>
      <c r="L86" s="63">
        <f>iferror('Quarterly Revenue&amp;EBITDA'!L86/'Quarterly Revenue&amp;EBITDA'!L82 - 1, "")</f>
        <v>0.2435990184</v>
      </c>
      <c r="M86" s="63" t="str">
        <f>iferror('Quarterly Revenue&amp;EBITDA'!M86/'Quarterly Revenue&amp;EBITDA'!M82 - 1, "")</f>
        <v/>
      </c>
      <c r="N86" s="63">
        <f>iferror('Quarterly Revenue&amp;EBITDA'!N86/'Quarterly Revenue&amp;EBITDA'!N82 - 1, "")</f>
        <v>0.4223844282</v>
      </c>
      <c r="O86" s="63">
        <f>iferror('Quarterly Revenue&amp;EBITDA'!O86/'Quarterly Revenue&amp;EBITDA'!O82 - 1, "")</f>
        <v>2.539445629</v>
      </c>
      <c r="P86" s="63" t="str">
        <f>iferror('Quarterly Revenue&amp;EBITDA'!P86/'Quarterly Revenue&amp;EBITDA'!P82 - 1, "")</f>
        <v/>
      </c>
      <c r="Q86" s="63" t="str">
        <f>iferror('Quarterly Revenue&amp;EBITDA'!Q86/'Quarterly Revenue&amp;EBITDA'!Q82 - 1, "")</f>
        <v/>
      </c>
      <c r="R86" s="63"/>
      <c r="S86" s="63">
        <f>iferror('Quarterly Revenue&amp;EBITDA'!S86/'Quarterly Revenue&amp;EBITDA'!S82 - 1, "")</f>
        <v>0.1259893646</v>
      </c>
      <c r="T86" s="63">
        <f>iferror('Quarterly Revenue&amp;EBITDA'!T86/'Quarterly Revenue&amp;EBITDA'!T82 - 1, "")</f>
        <v>0.9641298833</v>
      </c>
      <c r="U86" s="63" t="str">
        <f>iferror('Quarterly Revenue&amp;EBITDA'!U86/'Quarterly Revenue&amp;EBITDA'!U82 - 1, "")</f>
        <v/>
      </c>
      <c r="V86" s="62"/>
      <c r="W86" s="62"/>
      <c r="X86" s="63">
        <f>iferror('Quarterly Revenue&amp;EBITDA'!X86/'Quarterly Revenue&amp;EBITDA'!X82 - 1, "")</f>
        <v>0.06165249484</v>
      </c>
      <c r="Y86" s="63">
        <f>iferror('Quarterly Revenue&amp;EBITDA'!Y86/'Quarterly Revenue&amp;EBITDA'!Y82 - 1, "")</f>
        <v>0.4857800511</v>
      </c>
      <c r="Z86" s="63">
        <f>iferror('Quarterly Revenue&amp;EBITDA'!Z86/'Quarterly Revenue&amp;EBITDA'!Z82 - 1, "")</f>
        <v>0.3364629705</v>
      </c>
      <c r="AA86" s="63">
        <f>iferror('Quarterly Revenue&amp;EBITDA'!AA86/'Quarterly Revenue&amp;EBITDA'!AA82 - 1, "")</f>
        <v>1.617902589</v>
      </c>
      <c r="AB86" s="63" t="str">
        <f>iferror('Quarterly Revenue&amp;EBITDA'!AB86/'Quarterly Revenue&amp;EBITDA'!AB82 - 1, "")</f>
        <v/>
      </c>
      <c r="AC86" s="63">
        <f>iferror('Quarterly Revenue&amp;EBITDA'!AC86/'Quarterly Revenue&amp;EBITDA'!AC82 - 1, "")</f>
        <v>0.5877669646</v>
      </c>
      <c r="AD86" s="43"/>
    </row>
    <row r="87">
      <c r="A87" s="42" t="s">
        <v>114</v>
      </c>
      <c r="B87" s="63">
        <f>iferror('Quarterly Revenue&amp;EBITDA'!B87/'Quarterly Revenue&amp;EBITDA'!B83 - 1, "")</f>
        <v>0.4255982599</v>
      </c>
      <c r="C87" s="63">
        <f>iferror('Quarterly Revenue&amp;EBITDA'!C87/'Quarterly Revenue&amp;EBITDA'!C83 - 1, "")</f>
        <v>0.2102984867</v>
      </c>
      <c r="D87" s="63">
        <f>iferror('Quarterly Revenue&amp;EBITDA'!D87/'Quarterly Revenue&amp;EBITDA'!D83 - 1, "")</f>
        <v>0.1457286432</v>
      </c>
      <c r="E87" s="63">
        <f>iferror('Quarterly Revenue&amp;EBITDA'!E87/'Quarterly Revenue&amp;EBITDA'!E83 - 1, "")</f>
        <v>0.2109988777</v>
      </c>
      <c r="F87" s="63">
        <f>iferror('Quarterly Revenue&amp;EBITDA'!F87/'Quarterly Revenue&amp;EBITDA'!F83 - 1, "")</f>
        <v>0.01612903226</v>
      </c>
      <c r="G87" s="63">
        <f>iferror('Quarterly Revenue&amp;EBITDA'!G87/'Quarterly Revenue&amp;EBITDA'!G83 - 1, "")</f>
        <v>-0.0309366173</v>
      </c>
      <c r="H87" s="63">
        <f>iferror('Quarterly Revenue&amp;EBITDA'!H87 * 1000/'Quarterly Revenue&amp;EBITDA'!H83 - 1, "")</f>
        <v>0.1858857906</v>
      </c>
      <c r="I87" s="63">
        <f>iferror('Quarterly Revenue&amp;EBITDA'!I87/'Quarterly Revenue&amp;EBITDA'!I83 - 1, "")</f>
        <v>0.18875351</v>
      </c>
      <c r="J87" s="63">
        <f>iferror('Quarterly Revenue&amp;EBITDA'!J87/'Quarterly Revenue&amp;EBITDA'!J83 - 1, "")</f>
        <v>0.3146884607</v>
      </c>
      <c r="K87" s="63" t="str">
        <f>iferror('Quarterly Revenue&amp;EBITDA'!K87/'Quarterly Revenue&amp;EBITDA'!K83 - 1, "")</f>
        <v/>
      </c>
      <c r="L87" s="63">
        <f>iferror('Quarterly Revenue&amp;EBITDA'!L87/'Quarterly Revenue&amp;EBITDA'!L83 - 1, "")</f>
        <v>0.03232930899</v>
      </c>
      <c r="M87" s="63" t="str">
        <f>iferror('Quarterly Revenue&amp;EBITDA'!M87/'Quarterly Revenue&amp;EBITDA'!M83 - 1, "")</f>
        <v/>
      </c>
      <c r="N87" s="63">
        <f>iferror('Quarterly Revenue&amp;EBITDA'!N87/'Quarterly Revenue&amp;EBITDA'!N83 - 1, "")</f>
        <v>0.5143072289</v>
      </c>
      <c r="O87" s="63">
        <f>iferror('Quarterly Revenue&amp;EBITDA'!O87/'Quarterly Revenue&amp;EBITDA'!O83 - 1, "")</f>
        <v>2.539445629</v>
      </c>
      <c r="P87" s="63" t="str">
        <f>iferror('Quarterly Revenue&amp;EBITDA'!P87/'Quarterly Revenue&amp;EBITDA'!P83 - 1, "")</f>
        <v/>
      </c>
      <c r="Q87" s="63" t="str">
        <f>iferror('Quarterly Revenue&amp;EBITDA'!Q87/'Quarterly Revenue&amp;EBITDA'!Q83 - 1, "")</f>
        <v/>
      </c>
      <c r="R87" s="63"/>
      <c r="S87" s="63">
        <f>iferror('Quarterly Revenue&amp;EBITDA'!S87/'Quarterly Revenue&amp;EBITDA'!S83 - 1, "")</f>
        <v>0.07304415057</v>
      </c>
      <c r="T87" s="63">
        <f>iferror('Quarterly Revenue&amp;EBITDA'!T87/'Quarterly Revenue&amp;EBITDA'!T83 - 1, "")</f>
        <v>0.9641298833</v>
      </c>
      <c r="U87" s="63" t="str">
        <f>iferror('Quarterly Revenue&amp;EBITDA'!U87/'Quarterly Revenue&amp;EBITDA'!U83 - 1, "")</f>
        <v/>
      </c>
      <c r="V87" s="62"/>
      <c r="W87" s="62"/>
      <c r="X87" s="63">
        <f>iferror('Quarterly Revenue&amp;EBITDA'!X87/'Quarterly Revenue&amp;EBITDA'!X83 - 1, "")</f>
        <v>0.06165249484</v>
      </c>
      <c r="Y87" s="63">
        <f>iferror('Quarterly Revenue&amp;EBITDA'!Y87/'Quarterly Revenue&amp;EBITDA'!Y83 - 1, "")</f>
        <v>0.1469931716</v>
      </c>
      <c r="Z87" s="63">
        <f>iferror('Quarterly Revenue&amp;EBITDA'!Z87/'Quarterly Revenue&amp;EBITDA'!Z83 - 1, "")</f>
        <v>0.3314155362</v>
      </c>
      <c r="AA87" s="63">
        <f>iferror('Quarterly Revenue&amp;EBITDA'!AA87/'Quarterly Revenue&amp;EBITDA'!AA83 - 1, "")</f>
        <v>0.4352284075</v>
      </c>
      <c r="AB87" s="63">
        <f>iferror('Quarterly Revenue&amp;EBITDA'!AB87/'Quarterly Revenue&amp;EBITDA'!AB83 - 1, "")</f>
        <v>-0.03388145632</v>
      </c>
      <c r="AC87" s="63">
        <f>iferror('Quarterly Revenue&amp;EBITDA'!AC87/'Quarterly Revenue&amp;EBITDA'!AC83 - 1, "")</f>
        <v>0.7666302645</v>
      </c>
      <c r="AD87" s="43"/>
    </row>
    <row r="88">
      <c r="A88" s="42" t="s">
        <v>115</v>
      </c>
      <c r="B88" s="63">
        <f>iferror('Quarterly Revenue&amp;EBITDA'!B88/'Quarterly Revenue&amp;EBITDA'!B84 - 1, "")</f>
        <v>0.4255982599</v>
      </c>
      <c r="C88" s="63">
        <f>iferror('Quarterly Revenue&amp;EBITDA'!C88/'Quarterly Revenue&amp;EBITDA'!C84 - 1, "")</f>
        <v>0.1694589222</v>
      </c>
      <c r="D88" s="63">
        <f>iferror('Quarterly Revenue&amp;EBITDA'!D88/'Quarterly Revenue&amp;EBITDA'!D84 - 1, "")</f>
        <v>0.1136890951</v>
      </c>
      <c r="E88" s="63">
        <f>iferror('Quarterly Revenue&amp;EBITDA'!E88/'Quarterly Revenue&amp;EBITDA'!E84 - 1, "")</f>
        <v>0.166841553</v>
      </c>
      <c r="F88" s="63">
        <f>iferror('Quarterly Revenue&amp;EBITDA'!F88/'Quarterly Revenue&amp;EBITDA'!F84 - 1, "")</f>
        <v>0.02122641509</v>
      </c>
      <c r="G88" s="63">
        <f>iferror('Quarterly Revenue&amp;EBITDA'!G88/'Quarterly Revenue&amp;EBITDA'!G84 - 1, "")</f>
        <v>-0.2123008956</v>
      </c>
      <c r="H88" s="63">
        <f>iferror('Quarterly Revenue&amp;EBITDA'!H88/'Quarterly Revenue&amp;EBITDA'!H84 - 1, "")</f>
        <v>0</v>
      </c>
      <c r="I88" s="63">
        <f>iferror('Quarterly Revenue&amp;EBITDA'!I88/'Quarterly Revenue&amp;EBITDA'!I84 - 1, "")</f>
        <v>0.03935074512</v>
      </c>
      <c r="J88" s="63">
        <f>iferror('Quarterly Revenue&amp;EBITDA'!J88/'Quarterly Revenue&amp;EBITDA'!J84 - 1, "")</f>
        <v>-0.284531595</v>
      </c>
      <c r="K88" s="63" t="str">
        <f>iferror('Quarterly Revenue&amp;EBITDA'!K88/'Quarterly Revenue&amp;EBITDA'!K84 - 1, "")</f>
        <v/>
      </c>
      <c r="L88" s="63">
        <f>iferror('Quarterly Revenue&amp;EBITDA'!L88/'Quarterly Revenue&amp;EBITDA'!L84 - 1, "")</f>
        <v>-0.07426431769</v>
      </c>
      <c r="M88" s="63" t="str">
        <f>iferror('Quarterly Revenue&amp;EBITDA'!M88/'Quarterly Revenue&amp;EBITDA'!M84 - 1, "")</f>
        <v/>
      </c>
      <c r="N88" s="63">
        <f>iferror('Quarterly Revenue&amp;EBITDA'!N88/'Quarterly Revenue&amp;EBITDA'!N84 - 1, "")</f>
        <v>0.4430421787</v>
      </c>
      <c r="O88" s="63">
        <f>iferror('Quarterly Revenue&amp;EBITDA'!O88/'Quarterly Revenue&amp;EBITDA'!O84 - 1, "")</f>
        <v>2.539445629</v>
      </c>
      <c r="P88" s="63" t="str">
        <f>iferror('Quarterly Revenue&amp;EBITDA'!P88/'Quarterly Revenue&amp;EBITDA'!P84 - 1, "")</f>
        <v/>
      </c>
      <c r="Q88" s="63" t="str">
        <f>iferror('Quarterly Revenue&amp;EBITDA'!Q88/'Quarterly Revenue&amp;EBITDA'!Q84 - 1, "")</f>
        <v/>
      </c>
      <c r="R88" s="63"/>
      <c r="S88" s="63">
        <f>iferror('Quarterly Revenue&amp;EBITDA'!S88/'Quarterly Revenue&amp;EBITDA'!S84 - 1, "")</f>
        <v>0.07304415057</v>
      </c>
      <c r="T88" s="63">
        <f>iferror('Quarterly Revenue&amp;EBITDA'!T88/'Quarterly Revenue&amp;EBITDA'!T84 - 1, "")</f>
        <v>-0.2667837677</v>
      </c>
      <c r="U88" s="63" t="str">
        <f>iferror('Quarterly Revenue&amp;EBITDA'!U88/'Quarterly Revenue&amp;EBITDA'!U84 - 1, "")</f>
        <v/>
      </c>
      <c r="V88" s="62"/>
      <c r="W88" s="62"/>
      <c r="X88" s="63">
        <f>iferror('Quarterly Revenue&amp;EBITDA'!X88/'Quarterly Revenue&amp;EBITDA'!X84 - 1, "")</f>
        <v>0.06165249484</v>
      </c>
      <c r="Y88" s="63">
        <f>iferror('Quarterly Revenue&amp;EBITDA'!Y88/'Quarterly Revenue&amp;EBITDA'!Y84 - 1, "")</f>
        <v>0.1469931716</v>
      </c>
      <c r="Z88" s="63">
        <f>iferror('Quarterly Revenue&amp;EBITDA'!Z88/'Quarterly Revenue&amp;EBITDA'!Z84 - 1, "")</f>
        <v>0.3314155362</v>
      </c>
      <c r="AA88" s="63">
        <f>iferror('Quarterly Revenue&amp;EBITDA'!AA88/'Quarterly Revenue&amp;EBITDA'!AA84 - 1, "")</f>
        <v>0.4352284075</v>
      </c>
      <c r="AB88" s="63">
        <f>iferror('Quarterly Revenue&amp;EBITDA'!AB88/'Quarterly Revenue&amp;EBITDA'!AB84 - 1, "")</f>
        <v>-0.03388145632</v>
      </c>
      <c r="AC88" s="63">
        <f>iferror('Quarterly Revenue&amp;EBITDA'!AC88/'Quarterly Revenue&amp;EBITDA'!AC84 - 1, "")</f>
        <v>0.7666302645</v>
      </c>
      <c r="AD88" s="43"/>
    </row>
    <row r="89">
      <c r="A89" s="42" t="s">
        <v>116</v>
      </c>
      <c r="B89" s="63">
        <f>iferror('Quarterly Revenue&amp;EBITDA'!B89/'Quarterly Revenue&amp;EBITDA'!B85 - 1, "")</f>
        <v>0.4255982599</v>
      </c>
      <c r="C89" s="63">
        <f>iferror('Quarterly Revenue&amp;EBITDA'!C89/'Quarterly Revenue&amp;EBITDA'!C85 - 1, "")</f>
        <v>0.09360809323</v>
      </c>
      <c r="D89" s="63">
        <f>iferror('Quarterly Revenue&amp;EBITDA'!D89/'Quarterly Revenue&amp;EBITDA'!D85 - 1, "")</f>
        <v>0.1045178692</v>
      </c>
      <c r="E89" s="63">
        <f>iferror('Quarterly Revenue&amp;EBITDA'!E89/'Quarterly Revenue&amp;EBITDA'!E85 - 1, "")</f>
        <v>0.143812709</v>
      </c>
      <c r="F89" s="63">
        <f>iferror('Quarterly Revenue&amp;EBITDA'!F89/'Quarterly Revenue&amp;EBITDA'!F85 - 1, "")</f>
        <v>0.04328018223</v>
      </c>
      <c r="G89" s="63">
        <f>iferror('Quarterly Revenue&amp;EBITDA'!G89/'Quarterly Revenue&amp;EBITDA'!G85 - 1, "")</f>
        <v>-0.1187556451</v>
      </c>
      <c r="H89" s="63">
        <f>iferror('Quarterly Revenue&amp;EBITDA'!H89/'Quarterly Revenue&amp;EBITDA'!H85 - 1, "")</f>
        <v>0.0286377709</v>
      </c>
      <c r="I89" s="63">
        <f>iferror('Quarterly Revenue&amp;EBITDA'!I89/'Quarterly Revenue&amp;EBITDA'!I85 - 1, "")</f>
        <v>-0.07774515471</v>
      </c>
      <c r="J89" s="63">
        <f>iferror('Quarterly Revenue&amp;EBITDA'!J89/'Quarterly Revenue&amp;EBITDA'!J85 - 1, "")</f>
        <v>-0.3224494334</v>
      </c>
      <c r="K89" s="63" t="str">
        <f>iferror('Quarterly Revenue&amp;EBITDA'!K89/'Quarterly Revenue&amp;EBITDA'!K85 - 1, "")</f>
        <v/>
      </c>
      <c r="L89" s="63">
        <f>iferror('Quarterly Revenue&amp;EBITDA'!L89/'Quarterly Revenue&amp;EBITDA'!L85 - 1, "")</f>
        <v>0.005169348381</v>
      </c>
      <c r="M89" s="63" t="str">
        <f>iferror('Quarterly Revenue&amp;EBITDA'!M89/'Quarterly Revenue&amp;EBITDA'!M85 - 1, "")</f>
        <v/>
      </c>
      <c r="N89" s="63">
        <f>iferror('Quarterly Revenue&amp;EBITDA'!N89/'Quarterly Revenue&amp;EBITDA'!N85 - 1, "")</f>
        <v>0.5712526931</v>
      </c>
      <c r="O89" s="63">
        <f>iferror('Quarterly Revenue&amp;EBITDA'!O89 * 1000/'Quarterly Revenue&amp;EBITDA'!O85 - 1, "")</f>
        <v>-0.5938799446</v>
      </c>
      <c r="P89" s="63" t="str">
        <f>iferror('Quarterly Revenue&amp;EBITDA'!P89/'Quarterly Revenue&amp;EBITDA'!P85 - 1, "")</f>
        <v/>
      </c>
      <c r="Q89" s="63" t="str">
        <f>iferror('Quarterly Revenue&amp;EBITDA'!Q89/'Quarterly Revenue&amp;EBITDA'!Q85 - 1, "")</f>
        <v/>
      </c>
      <c r="R89" s="63"/>
      <c r="S89" s="63">
        <f>iferror('Quarterly Revenue&amp;EBITDA'!S89/'Quarterly Revenue&amp;EBITDA'!S85 - 1, "")</f>
        <v>0.07304415057</v>
      </c>
      <c r="T89" s="63">
        <f>iferror('Quarterly Revenue&amp;EBITDA'!T89/'Quarterly Revenue&amp;EBITDA'!T85 - 1, "")</f>
        <v>-0.2667837677</v>
      </c>
      <c r="U89" s="63" t="str">
        <f>iferror('Quarterly Revenue&amp;EBITDA'!U89/'Quarterly Revenue&amp;EBITDA'!U85 - 1, "")</f>
        <v/>
      </c>
      <c r="V89" s="62"/>
      <c r="W89" s="62"/>
      <c r="X89" s="63">
        <f>iferror('Quarterly Revenue&amp;EBITDA'!X89/'Quarterly Revenue&amp;EBITDA'!X85 - 1, "")</f>
        <v>-0.01510941749</v>
      </c>
      <c r="Y89" s="63">
        <f>iferror('Quarterly Revenue&amp;EBITDA'!Y89/'Quarterly Revenue&amp;EBITDA'!Y85 - 1, "")</f>
        <v>0.1469931716</v>
      </c>
      <c r="Z89" s="63">
        <f>iferror('Quarterly Revenue&amp;EBITDA'!Z89/'Quarterly Revenue&amp;EBITDA'!Z85 - 1, "")</f>
        <v>0.3314155362</v>
      </c>
      <c r="AA89" s="63">
        <f>iferror('Quarterly Revenue&amp;EBITDA'!AA89/'Quarterly Revenue&amp;EBITDA'!AA85 - 1, "")</f>
        <v>0.4352284075</v>
      </c>
      <c r="AB89" s="63">
        <f>iferror('Quarterly Revenue&amp;EBITDA'!AB89/'Quarterly Revenue&amp;EBITDA'!AB85 - 1, "")</f>
        <v>-0.03388145632</v>
      </c>
      <c r="AC89" s="63">
        <f>iferror('Quarterly Revenue&amp;EBITDA'!AC89/'Quarterly Revenue&amp;EBITDA'!AC85 - 1, "")</f>
        <v>0.7666302645</v>
      </c>
      <c r="AD89" s="43"/>
    </row>
    <row r="90">
      <c r="A90" s="42" t="s">
        <v>117</v>
      </c>
      <c r="B90" s="63">
        <f>iferror('Quarterly Revenue&amp;EBITDA'!B90/'Quarterly Revenue&amp;EBITDA'!B86 - 1, "")</f>
        <v>0.4255982599</v>
      </c>
      <c r="C90" s="63">
        <f>iferror('Quarterly Revenue&amp;EBITDA'!C90/'Quarterly Revenue&amp;EBITDA'!C86 - 1, "")</f>
        <v>0.1462718516</v>
      </c>
      <c r="D90" s="63">
        <f>iferror('Quarterly Revenue&amp;EBITDA'!D90/'Quarterly Revenue&amp;EBITDA'!D86 - 1, "")</f>
        <v>0.1034928849</v>
      </c>
      <c r="E90" s="63">
        <f>iferror('Quarterly Revenue&amp;EBITDA'!E90/'Quarterly Revenue&amp;EBITDA'!E86 - 1, "")</f>
        <v>0.1163967611</v>
      </c>
      <c r="F90" s="63">
        <f>iferror('Quarterly Revenue&amp;EBITDA'!F90/'Quarterly Revenue&amp;EBITDA'!F86 - 1, "")</f>
        <v>0.07788161994</v>
      </c>
      <c r="G90" s="63">
        <f>iferror('Quarterly Revenue&amp;EBITDA'!G90/'Quarterly Revenue&amp;EBITDA'!G86 - 1, "")</f>
        <v>-0.08133059385</v>
      </c>
      <c r="H90" s="63">
        <f>iferror('Quarterly Revenue&amp;EBITDA'!H90/'Quarterly Revenue&amp;EBITDA'!H86 - 1, "")</f>
        <v>0.0008779631255</v>
      </c>
      <c r="I90" s="63">
        <f>iferror('Quarterly Revenue&amp;EBITDA'!I90/'Quarterly Revenue&amp;EBITDA'!I86 - 1, "")</f>
        <v>-0.07982723542</v>
      </c>
      <c r="J90" s="63">
        <f>iferror('Quarterly Revenue&amp;EBITDA'!J90/'Quarterly Revenue&amp;EBITDA'!J86 - 1, "")</f>
        <v>-0.2763382944</v>
      </c>
      <c r="K90" s="63" t="str">
        <f>iferror('Quarterly Revenue&amp;EBITDA'!K90/'Quarterly Revenue&amp;EBITDA'!K86 - 1, "")</f>
        <v/>
      </c>
      <c r="L90" s="63">
        <f>iferror('Quarterly Revenue&amp;EBITDA'!L90/'Quarterly Revenue&amp;EBITDA'!L86 - 1, "")</f>
        <v>-0.2326324854</v>
      </c>
      <c r="M90" s="63" t="str">
        <f>iferror('Quarterly Revenue&amp;EBITDA'!M90/'Quarterly Revenue&amp;EBITDA'!M86 - 1, "")</f>
        <v/>
      </c>
      <c r="N90" s="63">
        <f>iferror('Quarterly Revenue&amp;EBITDA'!N90/'Quarterly Revenue&amp;EBITDA'!N86 - 1, "")</f>
        <v>0.8884707492</v>
      </c>
      <c r="O90" s="63">
        <f>iferror('Quarterly Revenue&amp;EBITDA'!O90 * 1000/'Quarterly Revenue&amp;EBITDA'!O86 - 1, "")</f>
        <v>-0.5938799446</v>
      </c>
      <c r="P90" s="63" t="str">
        <f>iferror('Quarterly Revenue&amp;EBITDA'!P90/'Quarterly Revenue&amp;EBITDA'!P86 - 1, "")</f>
        <v/>
      </c>
      <c r="Q90" s="63" t="str">
        <f>iferror('Quarterly Revenue&amp;EBITDA'!Q90/'Quarterly Revenue&amp;EBITDA'!Q86 - 1, "")</f>
        <v/>
      </c>
      <c r="R90" s="63"/>
      <c r="S90" s="63">
        <f>iferror('Quarterly Revenue&amp;EBITDA'!S90/'Quarterly Revenue&amp;EBITDA'!S86 - 1, "")</f>
        <v>0.07304415057</v>
      </c>
      <c r="T90" s="63">
        <f>iferror('Quarterly Revenue&amp;EBITDA'!T90/'Quarterly Revenue&amp;EBITDA'!T86 - 1, "")</f>
        <v>-0.2667837677</v>
      </c>
      <c r="U90" s="63" t="str">
        <f>iferror('Quarterly Revenue&amp;EBITDA'!U90/'Quarterly Revenue&amp;EBITDA'!U86 - 1, "")</f>
        <v/>
      </c>
      <c r="V90" s="62"/>
      <c r="W90" s="62"/>
      <c r="X90" s="63">
        <f>iferror('Quarterly Revenue&amp;EBITDA'!X90/'Quarterly Revenue&amp;EBITDA'!X86 - 1, "")</f>
        <v>-0.01510941749</v>
      </c>
      <c r="Y90" s="63">
        <f>iferror('Quarterly Revenue&amp;EBITDA'!Y90/'Quarterly Revenue&amp;EBITDA'!Y86 - 1, "")</f>
        <v>0.1469931716</v>
      </c>
      <c r="Z90" s="63">
        <f>iferror('Quarterly Revenue&amp;EBITDA'!Z90/'Quarterly Revenue&amp;EBITDA'!Z86 - 1, "")</f>
        <v>0.3314155362</v>
      </c>
      <c r="AA90" s="63">
        <f>iferror('Quarterly Revenue&amp;EBITDA'!AA90/'Quarterly Revenue&amp;EBITDA'!AA86 - 1, "")</f>
        <v>0.4352284075</v>
      </c>
      <c r="AB90" s="63">
        <f>iferror('Quarterly Revenue&amp;EBITDA'!AB90/'Quarterly Revenue&amp;EBITDA'!AB86 - 1, "")</f>
        <v>-0.03388145632</v>
      </c>
      <c r="AC90" s="63">
        <f>iferror('Quarterly Revenue&amp;EBITDA'!AC90/'Quarterly Revenue&amp;EBITDA'!AC86 - 1, "")</f>
        <v>0.7666302645</v>
      </c>
      <c r="AD90" s="43"/>
    </row>
    <row r="91">
      <c r="A91" s="42" t="s">
        <v>118</v>
      </c>
      <c r="B91" s="63">
        <f>iferror('Quarterly Revenue&amp;EBITDA'!B91 * 1000/'Quarterly Revenue&amp;EBITDA'!B87 - 1, "")</f>
        <v>-0.08104770419</v>
      </c>
      <c r="C91" s="63">
        <f>iferror('Quarterly Revenue&amp;EBITDA'!C91/'Quarterly Revenue&amp;EBITDA'!C87 - 1, "")</f>
        <v>-0.03114574443</v>
      </c>
      <c r="D91" s="63">
        <f>iferror('Quarterly Revenue&amp;EBITDA'!D91/'Quarterly Revenue&amp;EBITDA'!D87 - 1, "")</f>
        <v>0.04027113238</v>
      </c>
      <c r="E91" s="63">
        <f>iferror('Quarterly Revenue&amp;EBITDA'!E91/'Quarterly Revenue&amp;EBITDA'!E87 - 1, "")</f>
        <v>0.1288229842</v>
      </c>
      <c r="F91" s="63">
        <f>iferror('Quarterly Revenue&amp;EBITDA'!F91/'Quarterly Revenue&amp;EBITDA'!F87 - 1, "")</f>
        <v>-0.005291005291</v>
      </c>
      <c r="G91" s="63">
        <f>iferror('Quarterly Revenue&amp;EBITDA'!G91/'Quarterly Revenue&amp;EBITDA'!G87 - 1, "")</f>
        <v>-0.1943369165</v>
      </c>
      <c r="H91" s="63">
        <f>iferror('Quarterly Revenue&amp;EBITDA'!H91/'Quarterly Revenue&amp;EBITDA'!H87 - 1, "")</f>
        <v>0.07988587732</v>
      </c>
      <c r="I91" s="63">
        <f>iferror('Quarterly Revenue&amp;EBITDA'!I91/'Quarterly Revenue&amp;EBITDA'!I87 - 1, "")</f>
        <v>-0.1042646693</v>
      </c>
      <c r="J91" s="63">
        <f>iferror('Quarterly Revenue&amp;EBITDA'!J91/'Quarterly Revenue&amp;EBITDA'!J87 - 1, "")</f>
        <v>-0.2384510095</v>
      </c>
      <c r="K91" s="63" t="str">
        <f>iferror('Quarterly Revenue&amp;EBITDA'!K91/'Quarterly Revenue&amp;EBITDA'!K87 - 1, "")</f>
        <v/>
      </c>
      <c r="L91" s="63">
        <f>iferror('Quarterly Revenue&amp;EBITDA'!L91/'Quarterly Revenue&amp;EBITDA'!L87 - 1, "")</f>
        <v>-0.3725466672</v>
      </c>
      <c r="M91" s="63" t="str">
        <f>iferror('Quarterly Revenue&amp;EBITDA'!M91/'Quarterly Revenue&amp;EBITDA'!M87 - 1, "")</f>
        <v/>
      </c>
      <c r="N91" s="63">
        <f>iferror('Quarterly Revenue&amp;EBITDA'!N91/'Quarterly Revenue&amp;EBITDA'!N87 - 1, "")</f>
        <v>0.511934361</v>
      </c>
      <c r="O91" s="63">
        <f>iferror('Quarterly Revenue&amp;EBITDA'!O91 * 1000/'Quarterly Revenue&amp;EBITDA'!O87 - 1, "")</f>
        <v>-0.5573799623</v>
      </c>
      <c r="P91" s="63" t="str">
        <f>iferror('Quarterly Revenue&amp;EBITDA'!P91/'Quarterly Revenue&amp;EBITDA'!P87 - 1, "")</f>
        <v/>
      </c>
      <c r="Q91" s="63" t="str">
        <f>iferror('Quarterly Revenue&amp;EBITDA'!Q91/'Quarterly Revenue&amp;EBITDA'!Q87 - 1, "")</f>
        <v/>
      </c>
      <c r="R91" s="63"/>
      <c r="S91" s="63">
        <f>iferror('Quarterly Revenue&amp;EBITDA'!S91/'Quarterly Revenue&amp;EBITDA'!S87 - 1, "")</f>
        <v>0.1772108956</v>
      </c>
      <c r="T91" s="63">
        <f>iferror('Quarterly Revenue&amp;EBITDA'!T91/'Quarterly Revenue&amp;EBITDA'!T87 - 1, "")</f>
        <v>-0.2667837677</v>
      </c>
      <c r="U91" s="63" t="str">
        <f>iferror('Quarterly Revenue&amp;EBITDA'!U91/'Quarterly Revenue&amp;EBITDA'!U87 - 1, "")</f>
        <v/>
      </c>
      <c r="V91" s="62"/>
      <c r="W91" s="62"/>
      <c r="X91" s="63">
        <f>iferror('Quarterly Revenue&amp;EBITDA'!X91/'Quarterly Revenue&amp;EBITDA'!X87 - 1, "")</f>
        <v>-0.01510941749</v>
      </c>
      <c r="Y91" s="63">
        <f>iferror('Quarterly Revenue&amp;EBITDA'!Y91/'Quarterly Revenue&amp;EBITDA'!Y87 - 1, "")</f>
        <v>0.2308619791</v>
      </c>
      <c r="Z91" s="63">
        <f>iferror('Quarterly Revenue&amp;EBITDA'!Z91/'Quarterly Revenue&amp;EBITDA'!Z87 - 1, "")</f>
        <v>0.459251285</v>
      </c>
      <c r="AA91" s="63">
        <f>iferror('Quarterly Revenue&amp;EBITDA'!AA91/'Quarterly Revenue&amp;EBITDA'!AA87 - 1, "")</f>
        <v>0.1551145236</v>
      </c>
      <c r="AB91" s="63">
        <f>iferror('Quarterly Revenue&amp;EBITDA'!AB91/'Quarterly Revenue&amp;EBITDA'!AB87 - 1, "")</f>
        <v>-0.120750268</v>
      </c>
      <c r="AC91" s="63">
        <f>iferror('Quarterly Revenue&amp;EBITDA'!AC91/'Quarterly Revenue&amp;EBITDA'!AC87 - 1, "")</f>
        <v>0.2651221544</v>
      </c>
      <c r="AD91" s="43"/>
    </row>
    <row r="92">
      <c r="A92" s="42" t="s">
        <v>119</v>
      </c>
      <c r="B92" s="63">
        <f>iferror('Quarterly Revenue&amp;EBITDA'!B92 * 1000/'Quarterly Revenue&amp;EBITDA'!B88 - 1, "")</f>
        <v>0.3296878273</v>
      </c>
      <c r="C92" s="63">
        <f>iferror('Quarterly Revenue&amp;EBITDA'!C92/'Quarterly Revenue&amp;EBITDA'!C88 - 1, "")</f>
        <v>0.08846414599</v>
      </c>
      <c r="D92" s="63">
        <f>iferror('Quarterly Revenue&amp;EBITDA'!D92/'Quarterly Revenue&amp;EBITDA'!D88 - 1, "")</f>
        <v>0.09479166667</v>
      </c>
      <c r="E92" s="63">
        <f>iferror('Quarterly Revenue&amp;EBITDA'!E92/'Quarterly Revenue&amp;EBITDA'!E88 - 1, "")</f>
        <v>0.1393884892</v>
      </c>
      <c r="F92" s="63">
        <f>iferror('Quarterly Revenue&amp;EBITDA'!F92/'Quarterly Revenue&amp;EBITDA'!F88 - 1, "")</f>
        <v>-0.02540415704</v>
      </c>
      <c r="G92" s="63">
        <f>iferror('Quarterly Revenue&amp;EBITDA'!G92/'Quarterly Revenue&amp;EBITDA'!G88 - 1, "")</f>
        <v>-0.04808105566</v>
      </c>
      <c r="H92" s="63">
        <f>iferror('Quarterly Revenue&amp;EBITDA'!H92/'Quarterly Revenue&amp;EBITDA'!H88 - 1, "")</f>
        <v>0.05126300149</v>
      </c>
      <c r="I92" s="63">
        <f>iferror('Quarterly Revenue&amp;EBITDA'!I92/'Quarterly Revenue&amp;EBITDA'!I88 - 1, "")</f>
        <v>-0.1103938125</v>
      </c>
      <c r="J92" s="63">
        <f>iferror('Quarterly Revenue&amp;EBITDA'!J92/'Quarterly Revenue&amp;EBITDA'!J88 - 1, "")</f>
        <v>0.03148970235</v>
      </c>
      <c r="K92" s="63" t="str">
        <f>iferror('Quarterly Revenue&amp;EBITDA'!K92/'Quarterly Revenue&amp;EBITDA'!K88 - 1, "")</f>
        <v/>
      </c>
      <c r="L92" s="63">
        <f>iferror('Quarterly Revenue&amp;EBITDA'!L92/'Quarterly Revenue&amp;EBITDA'!L88 - 1, "")</f>
        <v>-0.357241914</v>
      </c>
      <c r="M92" s="63" t="str">
        <f>iferror('Quarterly Revenue&amp;EBITDA'!M92/'Quarterly Revenue&amp;EBITDA'!M88 - 1, "")</f>
        <v/>
      </c>
      <c r="N92" s="63">
        <f>iferror('Quarterly Revenue&amp;EBITDA'!N92/'Quarterly Revenue&amp;EBITDA'!N88 - 1, "")</f>
        <v>0.7084004603</v>
      </c>
      <c r="O92" s="63">
        <f>iferror('Quarterly Revenue&amp;EBITDA'!O92 * 1000/'Quarterly Revenue&amp;EBITDA'!O88 - 1, "")</f>
        <v>-0.5573799623</v>
      </c>
      <c r="P92" s="63" t="str">
        <f>iferror('Quarterly Revenue&amp;EBITDA'!P92/'Quarterly Revenue&amp;EBITDA'!P88 - 1, "")</f>
        <v/>
      </c>
      <c r="Q92" s="63" t="str">
        <f>iferror('Quarterly Revenue&amp;EBITDA'!Q92/'Quarterly Revenue&amp;EBITDA'!Q88 - 1, "")</f>
        <v/>
      </c>
      <c r="R92" s="63"/>
      <c r="S92" s="63">
        <f>iferror('Quarterly Revenue&amp;EBITDA'!S92/'Quarterly Revenue&amp;EBITDA'!S88 - 1, "")</f>
        <v>0.1772108956</v>
      </c>
      <c r="T92" s="63">
        <f>iferror('Quarterly Revenue&amp;EBITDA'!T92/'Quarterly Revenue&amp;EBITDA'!T88 - 1, "")</f>
        <v>-0.2039809759</v>
      </c>
      <c r="U92" s="63" t="str">
        <f>iferror('Quarterly Revenue&amp;EBITDA'!U92/'Quarterly Revenue&amp;EBITDA'!U88 - 1, "")</f>
        <v/>
      </c>
      <c r="V92" s="62"/>
      <c r="W92" s="62"/>
      <c r="X92" s="63">
        <f>iferror('Quarterly Revenue&amp;EBITDA'!X92/'Quarterly Revenue&amp;EBITDA'!X88 - 1, "")</f>
        <v>-0.01510941749</v>
      </c>
      <c r="Y92" s="63">
        <f>iferror('Quarterly Revenue&amp;EBITDA'!Y92/'Quarterly Revenue&amp;EBITDA'!Y88 - 1, "")</f>
        <v>0.2308619791</v>
      </c>
      <c r="Z92" s="63">
        <f>iferror('Quarterly Revenue&amp;EBITDA'!Z92/'Quarterly Revenue&amp;EBITDA'!Z88 - 1, "")</f>
        <v>0.459251285</v>
      </c>
      <c r="AA92" s="63">
        <f>iferror('Quarterly Revenue&amp;EBITDA'!AA92/'Quarterly Revenue&amp;EBITDA'!AA88 - 1, "")</f>
        <v>0.1551145236</v>
      </c>
      <c r="AB92" s="63">
        <f>iferror('Quarterly Revenue&amp;EBITDA'!AB92/'Quarterly Revenue&amp;EBITDA'!AB88 - 1, "")</f>
        <v>-0.120750268</v>
      </c>
      <c r="AC92" s="63">
        <f>iferror('Quarterly Revenue&amp;EBITDA'!AC92/'Quarterly Revenue&amp;EBITDA'!AC88 - 1, "")</f>
        <v>0.2651221544</v>
      </c>
      <c r="AD92" s="43"/>
    </row>
    <row r="93">
      <c r="A93" s="42" t="s">
        <v>120</v>
      </c>
      <c r="B93" s="63">
        <f>iferror('Quarterly Revenue&amp;EBITDA'!B93 * 1000/'Quarterly Revenue&amp;EBITDA'!B89 - 1, "")</f>
        <v>0.8028551596</v>
      </c>
      <c r="C93" s="63">
        <f>iferror('Quarterly Revenue&amp;EBITDA'!C93/'Quarterly Revenue&amp;EBITDA'!C89 - 1, "")</f>
        <v>0.0393702736</v>
      </c>
      <c r="D93" s="63">
        <f>iferror('Quarterly Revenue&amp;EBITDA'!D93/'Quarterly Revenue&amp;EBITDA'!D89 - 1, "")</f>
        <v>0.08608058608</v>
      </c>
      <c r="E93" s="63">
        <f>iferror('Quarterly Revenue&amp;EBITDA'!E93/'Quarterly Revenue&amp;EBITDA'!E89 - 1, "")</f>
        <v>0.07383040936</v>
      </c>
      <c r="F93" s="63">
        <f>iferror('Quarterly Revenue&amp;EBITDA'!F93/'Quarterly Revenue&amp;EBITDA'!F89 - 1, "")</f>
        <v>-0.06550218341</v>
      </c>
      <c r="G93" s="63">
        <f>iferror('Quarterly Revenue&amp;EBITDA'!G93/'Quarterly Revenue&amp;EBITDA'!G89 - 1, "")</f>
        <v>-0.01251601459</v>
      </c>
      <c r="H93" s="63">
        <f>iferror('Quarterly Revenue&amp;EBITDA'!H93/'Quarterly Revenue&amp;EBITDA'!H89 - 1, "")</f>
        <v>0.05116629044</v>
      </c>
      <c r="I93" s="63">
        <f>iferror('Quarterly Revenue&amp;EBITDA'!I93/'Quarterly Revenue&amp;EBITDA'!I89 - 1, "")</f>
        <v>0.08868673039</v>
      </c>
      <c r="J93" s="63">
        <f>iferror('Quarterly Revenue&amp;EBITDA'!J93/'Quarterly Revenue&amp;EBITDA'!J89 - 1, "")</f>
        <v>0.1384821782</v>
      </c>
      <c r="K93" s="63" t="str">
        <f>iferror('Quarterly Revenue&amp;EBITDA'!K93/'Quarterly Revenue&amp;EBITDA'!K89 - 1, "")</f>
        <v/>
      </c>
      <c r="L93" s="63">
        <f>iferror('Quarterly Revenue&amp;EBITDA'!L93/'Quarterly Revenue&amp;EBITDA'!L89 - 1, "")</f>
        <v>-0.2895115097</v>
      </c>
      <c r="M93" s="63" t="str">
        <f>iferror('Quarterly Revenue&amp;EBITDA'!M93/'Quarterly Revenue&amp;EBITDA'!M89 - 1, "")</f>
        <v/>
      </c>
      <c r="N93" s="63">
        <f>iferror('Quarterly Revenue&amp;EBITDA'!N93/'Quarterly Revenue&amp;EBITDA'!N89 - 1, "")</f>
        <v>0.5755142018</v>
      </c>
      <c r="O93" s="63">
        <f>iferror('Quarterly Revenue&amp;EBITDA'!O93/'Quarterly Revenue&amp;EBITDA'!O89 - 1, "")</f>
        <v>0.2411831627</v>
      </c>
      <c r="P93" s="63" t="str">
        <f>iferror('Quarterly Revenue&amp;EBITDA'!P93/'Quarterly Revenue&amp;EBITDA'!P89 - 1, "")</f>
        <v/>
      </c>
      <c r="Q93" s="63" t="str">
        <f>iferror('Quarterly Revenue&amp;EBITDA'!Q93/'Quarterly Revenue&amp;EBITDA'!Q89 - 1, "")</f>
        <v/>
      </c>
      <c r="R93" s="63"/>
      <c r="S93" s="63">
        <f>iferror('Quarterly Revenue&amp;EBITDA'!S93/'Quarterly Revenue&amp;EBITDA'!S89 - 1, "")</f>
        <v>0.1772108956</v>
      </c>
      <c r="T93" s="63">
        <f>iferror('Quarterly Revenue&amp;EBITDA'!T93/'Quarterly Revenue&amp;EBITDA'!T89 - 1, "")</f>
        <v>-0.2039809759</v>
      </c>
      <c r="U93" s="63" t="str">
        <f>iferror('Quarterly Revenue&amp;EBITDA'!U93/'Quarterly Revenue&amp;EBITDA'!U89 - 1, "")</f>
        <v/>
      </c>
      <c r="V93" s="62"/>
      <c r="W93" s="62"/>
      <c r="X93" s="63">
        <f>iferror('Quarterly Revenue&amp;EBITDA'!X93/'Quarterly Revenue&amp;EBITDA'!X89 - 1, "")</f>
        <v>-0.3412842632</v>
      </c>
      <c r="Y93" s="63">
        <f>iferror('Quarterly Revenue&amp;EBITDA'!Y93/'Quarterly Revenue&amp;EBITDA'!Y89 - 1, "")</f>
        <v>0.2308619791</v>
      </c>
      <c r="Z93" s="63">
        <f>iferror('Quarterly Revenue&amp;EBITDA'!Z93/'Quarterly Revenue&amp;EBITDA'!Z89 - 1, "")</f>
        <v>0.459251285</v>
      </c>
      <c r="AA93" s="63">
        <f>iferror('Quarterly Revenue&amp;EBITDA'!AA93/'Quarterly Revenue&amp;EBITDA'!AA89 - 1, "")</f>
        <v>0.1551145236</v>
      </c>
      <c r="AB93" s="63">
        <f>iferror('Quarterly Revenue&amp;EBITDA'!AB93/'Quarterly Revenue&amp;EBITDA'!AB89 - 1, "")</f>
        <v>-0.120750268</v>
      </c>
      <c r="AC93" s="63">
        <f>iferror('Quarterly Revenue&amp;EBITDA'!AC93/'Quarterly Revenue&amp;EBITDA'!AC89 - 1, "")</f>
        <v>0.2651221544</v>
      </c>
      <c r="AD93" s="43"/>
    </row>
    <row r="94">
      <c r="A94" s="42" t="s">
        <v>121</v>
      </c>
      <c r="B94" s="63">
        <f>iferror('Quarterly Revenue&amp;EBITDA'!B94 * 1000/'Quarterly Revenue&amp;EBITDA'!B90 - 1, "")</f>
        <v>0.212491289</v>
      </c>
      <c r="C94" s="63">
        <f>iferror('Quarterly Revenue&amp;EBITDA'!C94/'Quarterly Revenue&amp;EBITDA'!C90 - 1, "")</f>
        <v>0.03921568627</v>
      </c>
      <c r="D94" s="63">
        <f>iferror('Quarterly Revenue&amp;EBITDA'!D94/'Quarterly Revenue&amp;EBITDA'!D90 - 1, "")</f>
        <v>0.07346619773</v>
      </c>
      <c r="E94" s="63">
        <f>iferror('Quarterly Revenue&amp;EBITDA'!E94/'Quarterly Revenue&amp;EBITDA'!E90 - 1, "")</f>
        <v>0.04261106074</v>
      </c>
      <c r="F94" s="63">
        <f>iferror('Quarterly Revenue&amp;EBITDA'!F94/'Quarterly Revenue&amp;EBITDA'!F90 - 1, "")</f>
        <v>-0.03179190751</v>
      </c>
      <c r="G94" s="63">
        <f>iferror('Quarterly Revenue&amp;EBITDA'!G94/'Quarterly Revenue&amp;EBITDA'!G90 - 1, "")</f>
        <v>-0.06762282795</v>
      </c>
      <c r="H94" s="63">
        <f>iferror('Quarterly Revenue&amp;EBITDA'!H94/'Quarterly Revenue&amp;EBITDA'!H90 - 1, "")</f>
        <v>0.1552631579</v>
      </c>
      <c r="I94" s="63">
        <f>iferror('Quarterly Revenue&amp;EBITDA'!I94/'Quarterly Revenue&amp;EBITDA'!I90 - 1, "")</f>
        <v>0.09874353847</v>
      </c>
      <c r="J94" s="63">
        <f>iferror('Quarterly Revenue&amp;EBITDA'!J94/'Quarterly Revenue&amp;EBITDA'!J90 - 1, "")</f>
        <v>0.1768537435</v>
      </c>
      <c r="K94" s="63" t="str">
        <f>iferror('Quarterly Revenue&amp;EBITDA'!K94/'Quarterly Revenue&amp;EBITDA'!K90 - 1, "")</f>
        <v/>
      </c>
      <c r="L94" s="63">
        <f>iferror('Quarterly Revenue&amp;EBITDA'!L94/'Quarterly Revenue&amp;EBITDA'!L90 - 1, "")</f>
        <v>-0.3679746421</v>
      </c>
      <c r="M94" s="63"/>
      <c r="N94" s="63">
        <f>iferror('Quarterly Revenue&amp;EBITDA'!N94/'Quarterly Revenue&amp;EBITDA'!N90 - 1, "")</f>
        <v>0.3699275362</v>
      </c>
      <c r="O94" s="63">
        <f>iferror('Quarterly Revenue&amp;EBITDA'!O94/'Quarterly Revenue&amp;EBITDA'!O90 - 1, "")</f>
        <v>0.2411831627</v>
      </c>
      <c r="P94" s="63" t="str">
        <f>iferror('Quarterly Revenue&amp;EBITDA'!P94/'Quarterly Revenue&amp;EBITDA'!P90 - 1, "")</f>
        <v/>
      </c>
      <c r="Q94" s="63" t="str">
        <f>iferror('Quarterly Revenue&amp;EBITDA'!Q94/'Quarterly Revenue&amp;EBITDA'!Q90 - 1, "")</f>
        <v/>
      </c>
      <c r="R94" s="63"/>
      <c r="S94" s="63">
        <f>iferror('Quarterly Revenue&amp;EBITDA'!S94/'Quarterly Revenue&amp;EBITDA'!S90 - 1, "")</f>
        <v>0.1772108956</v>
      </c>
      <c r="T94" s="63">
        <f>iferror('Quarterly Revenue&amp;EBITDA'!T94/'Quarterly Revenue&amp;EBITDA'!T90 - 1, "")</f>
        <v>-0.2039809759</v>
      </c>
      <c r="U94" s="63" t="str">
        <f>iferror('Quarterly Revenue&amp;EBITDA'!U94/'Quarterly Revenue&amp;EBITDA'!U90 - 1, "")</f>
        <v/>
      </c>
      <c r="V94" s="62"/>
      <c r="W94" s="62"/>
      <c r="X94" s="63">
        <f>iferror('Quarterly Revenue&amp;EBITDA'!X94/'Quarterly Revenue&amp;EBITDA'!X90 - 1, "")</f>
        <v>-0.3412842632</v>
      </c>
      <c r="Y94" s="63">
        <f>iferror('Quarterly Revenue&amp;EBITDA'!Y94/'Quarterly Revenue&amp;EBITDA'!Y90 - 1, "")</f>
        <v>0.2308619791</v>
      </c>
      <c r="Z94" s="63">
        <f>iferror('Quarterly Revenue&amp;EBITDA'!Z94/'Quarterly Revenue&amp;EBITDA'!Z90 - 1, "")</f>
        <v>0.459251285</v>
      </c>
      <c r="AA94" s="63">
        <f>iferror('Quarterly Revenue&amp;EBITDA'!AA94/'Quarterly Revenue&amp;EBITDA'!AA90 - 1, "")</f>
        <v>0.1551145236</v>
      </c>
      <c r="AB94" s="63">
        <f>iferror('Quarterly Revenue&amp;EBITDA'!AB94/'Quarterly Revenue&amp;EBITDA'!AB90 - 1, "")</f>
        <v>-0.120750268</v>
      </c>
      <c r="AC94" s="63">
        <f>iferror('Quarterly Revenue&amp;EBITDA'!AC94/'Quarterly Revenue&amp;EBITDA'!AC90 - 1, "")</f>
        <v>0.2651221544</v>
      </c>
      <c r="AD94" s="43"/>
    </row>
    <row r="95">
      <c r="A95" s="42" t="s">
        <v>122</v>
      </c>
      <c r="B95" s="63">
        <f>iferror('Quarterly Revenue&amp;EBITDA'!B95/'Quarterly Revenue&amp;EBITDA'!B91 - 1, "")</f>
        <v>0.00337306317</v>
      </c>
      <c r="C95" s="63">
        <f>iferror('Quarterly Revenue&amp;EBITDA'!C95/'Quarterly Revenue&amp;EBITDA'!C91 - 1, "")</f>
        <v>-0.1935142756</v>
      </c>
      <c r="D95" s="63">
        <f>iferror('Quarterly Revenue&amp;EBITDA'!D95/'Quarterly Revenue&amp;EBITDA'!D91 - 1, "")</f>
        <v>-0.1533154465</v>
      </c>
      <c r="E95" s="63">
        <f>iferror('Quarterly Revenue&amp;EBITDA'!E95/'Quarterly Revenue&amp;EBITDA'!E91 - 1, "")</f>
        <v>-0.4507389163</v>
      </c>
      <c r="F95" s="63">
        <f>iferror('Quarterly Revenue&amp;EBITDA'!F95/'Quarterly Revenue&amp;EBITDA'!F91 - 1, "")</f>
        <v>-0.2606382979</v>
      </c>
      <c r="G95" s="63">
        <f>iferror('Quarterly Revenue&amp;EBITDA'!G95/'Quarterly Revenue&amp;EBITDA'!G91 - 1, "")</f>
        <v>-0.3309724349</v>
      </c>
      <c r="H95" s="63">
        <f>iferror('Quarterly Revenue&amp;EBITDA'!H95/'Quarterly Revenue&amp;EBITDA'!H91 - 1, "")</f>
        <v>-0.2357992074</v>
      </c>
      <c r="I95" s="63">
        <f>iferror('Quarterly Revenue&amp;EBITDA'!I95/'Quarterly Revenue&amp;EBITDA'!I91 - 1, "")</f>
        <v>-0.4282494365</v>
      </c>
      <c r="J95" s="63">
        <f>iferror('Quarterly Revenue&amp;EBITDA'!J95/'Quarterly Revenue&amp;EBITDA'!J91 - 1, "")</f>
        <v>-0.1267380614</v>
      </c>
      <c r="K95" s="63" t="str">
        <f>iferror('Quarterly Revenue&amp;EBITDA'!K95/'Quarterly Revenue&amp;EBITDA'!K91 - 1, "")</f>
        <v/>
      </c>
      <c r="L95" s="63">
        <f>iferror('Quarterly Revenue&amp;EBITDA'!L95/'Quarterly Revenue&amp;EBITDA'!L91 - 1, "")</f>
        <v>-0.3872466121</v>
      </c>
      <c r="M95" s="63">
        <f>iferror('Quarterly Revenue&amp;EBITDA'!M95/'Quarterly Revenue&amp;EBITDA'!M91 - 1, "")</f>
        <v>0.9832214765</v>
      </c>
      <c r="N95" s="63">
        <f>iferror('Quarterly Revenue&amp;EBITDA'!N95/'Quarterly Revenue&amp;EBITDA'!N91 - 1, "")</f>
        <v>-0.1226771913</v>
      </c>
      <c r="O95" s="63">
        <f>iferror('Quarterly Revenue&amp;EBITDA'!O95/'Quarterly Revenue&amp;EBITDA'!O91 - 1, "")</f>
        <v>-0.7458246347</v>
      </c>
      <c r="P95" s="63" t="str">
        <f>iferror('Quarterly Revenue&amp;EBITDA'!P95/'Quarterly Revenue&amp;EBITDA'!P91 - 1, "")</f>
        <v/>
      </c>
      <c r="Q95" s="63" t="str">
        <f>iferror('Quarterly Revenue&amp;EBITDA'!Q95/'Quarterly Revenue&amp;EBITDA'!Q91 - 1, "")</f>
        <v/>
      </c>
      <c r="R95" s="63"/>
      <c r="S95" s="63">
        <f>iferror('Quarterly Revenue&amp;EBITDA'!S95/'Quarterly Revenue&amp;EBITDA'!S91 - 1, "")</f>
        <v>-0.6712044395</v>
      </c>
      <c r="T95" s="63">
        <f>iferror('Quarterly Revenue&amp;EBITDA'!T95/'Quarterly Revenue&amp;EBITDA'!T91 - 1, "")</f>
        <v>-0.2039809759</v>
      </c>
      <c r="U95" s="63">
        <f>iferror('Quarterly Revenue&amp;EBITDA'!U95/'Quarterly Revenue&amp;EBITDA'!U91 - 1, "")</f>
        <v>-3.6031759</v>
      </c>
      <c r="V95" s="62"/>
      <c r="W95" s="62"/>
      <c r="X95" s="63">
        <f>iferror('Quarterly Revenue&amp;EBITDA'!X95/'Quarterly Revenue&amp;EBITDA'!X91 - 1, "")</f>
        <v>-0.3412842632</v>
      </c>
      <c r="Y95" s="63">
        <f>iferror('Quarterly Revenue&amp;EBITDA'!Y95/'Quarterly Revenue&amp;EBITDA'!Y91 - 1, "")</f>
        <v>-0.6628519692</v>
      </c>
      <c r="Z95" s="63">
        <f>iferror('Quarterly Revenue&amp;EBITDA'!Z95/'Quarterly Revenue&amp;EBITDA'!Z91 - 1, "")</f>
        <v>-0.5959768085</v>
      </c>
      <c r="AA95" s="63">
        <f>iferror('Quarterly Revenue&amp;EBITDA'!AA95/'Quarterly Revenue&amp;EBITDA'!AA91 - 1, "")</f>
        <v>-0.615159241</v>
      </c>
      <c r="AB95" s="63">
        <f>iferror('Quarterly Revenue&amp;EBITDA'!AB95/'Quarterly Revenue&amp;EBITDA'!AB91 - 1, "")</f>
        <v>-0.6431967233</v>
      </c>
      <c r="AC95" s="63">
        <f>iferror('Quarterly Revenue&amp;EBITDA'!AC95/'Quarterly Revenue&amp;EBITDA'!AC91 - 1, "")</f>
        <v>-0.3711213178</v>
      </c>
      <c r="AD95" s="43"/>
    </row>
    <row r="96">
      <c r="A96" s="42" t="s">
        <v>123</v>
      </c>
      <c r="B96" s="63">
        <f>iferror('Quarterly Revenue&amp;EBITDA'!B96/'Quarterly Revenue&amp;EBITDA'!B92 - 1, "")</f>
        <v>-0.7242388797</v>
      </c>
      <c r="C96" s="63">
        <f>iferror('Quarterly Revenue&amp;EBITDA'!C96/'Quarterly Revenue&amp;EBITDA'!C92 - 1, "")</f>
        <v>-0.8363636364</v>
      </c>
      <c r="D96" s="63">
        <f>iferror('Quarterly Revenue&amp;EBITDA'!D96/'Quarterly Revenue&amp;EBITDA'!D92 - 1, "")</f>
        <v>-0.8204884237</v>
      </c>
      <c r="E96" s="63">
        <f>iferror('Quarterly Revenue&amp;EBITDA'!E96/'Quarterly Revenue&amp;EBITDA'!E92 - 1, "")</f>
        <v>-0.6464088398</v>
      </c>
      <c r="F96" s="63">
        <f>iferror('Quarterly Revenue&amp;EBITDA'!F96/'Quarterly Revenue&amp;EBITDA'!F92 - 1, "")</f>
        <v>-0.8601895735</v>
      </c>
      <c r="G96" s="63">
        <f>iferror('Quarterly Revenue&amp;EBITDA'!G96/'Quarterly Revenue&amp;EBITDA'!G92 - 1, "")</f>
        <v>-0.9280286097</v>
      </c>
      <c r="H96" s="63">
        <f>iferror('Quarterly Revenue&amp;EBITDA'!H96/'Quarterly Revenue&amp;EBITDA'!H92 - 1, "")</f>
        <v>-0.8826855124</v>
      </c>
      <c r="I96" s="63">
        <f>iferror('Quarterly Revenue&amp;EBITDA'!I96/'Quarterly Revenue&amp;EBITDA'!I92 - 1, "")</f>
        <v>-1.085013146</v>
      </c>
      <c r="J96" s="63">
        <f>iferror('Quarterly Revenue&amp;EBITDA'!J96/'Quarterly Revenue&amp;EBITDA'!J92 - 1, "")</f>
        <v>-0.9551211046</v>
      </c>
      <c r="K96" s="63" t="str">
        <f>iferror('Quarterly Revenue&amp;EBITDA'!K96/'Quarterly Revenue&amp;EBITDA'!K92 - 1, "")</f>
        <v/>
      </c>
      <c r="L96" s="63">
        <f>iferror('Quarterly Revenue&amp;EBITDA'!L96/'Quarterly Revenue&amp;EBITDA'!L92 - 1, "")</f>
        <v>-0.9228193853</v>
      </c>
      <c r="M96" s="63">
        <f>iferror('Quarterly Revenue&amp;EBITDA'!M96/'Quarterly Revenue&amp;EBITDA'!M92 - 1, "")</f>
        <v>-0.9015338941</v>
      </c>
      <c r="N96" s="63">
        <f>iferror('Quarterly Revenue&amp;EBITDA'!N96/'Quarterly Revenue&amp;EBITDA'!N92 - 1, "")</f>
        <v>-0.9636265661</v>
      </c>
      <c r="O96" s="63">
        <f>iferror('Quarterly Revenue&amp;EBITDA'!O96/'Quarterly Revenue&amp;EBITDA'!O92 - 1, "")</f>
        <v>-0.7458246347</v>
      </c>
      <c r="P96" s="63" t="str">
        <f>iferror('Quarterly Revenue&amp;EBITDA'!P96/'Quarterly Revenue&amp;EBITDA'!P92 - 1, "")</f>
        <v/>
      </c>
      <c r="Q96" s="63" t="str">
        <f>iferror('Quarterly Revenue&amp;EBITDA'!Q96/'Quarterly Revenue&amp;EBITDA'!Q92 - 1, "")</f>
        <v/>
      </c>
      <c r="R96" s="63"/>
      <c r="S96" s="63">
        <f>iferror('Quarterly Revenue&amp;EBITDA'!S96/'Quarterly Revenue&amp;EBITDA'!S92 - 1, "")</f>
        <v>-0.6712044395</v>
      </c>
      <c r="T96" s="63">
        <f>iferror('Quarterly Revenue&amp;EBITDA'!T96/'Quarterly Revenue&amp;EBITDA'!T92 - 1, "")</f>
        <v>-0.1581765877</v>
      </c>
      <c r="U96" s="63">
        <f>iferror('Quarterly Revenue&amp;EBITDA'!U96/'Quarterly Revenue&amp;EBITDA'!U92 - 1, "")</f>
        <v>-0.9221630228</v>
      </c>
      <c r="V96" s="62"/>
      <c r="W96" s="62"/>
      <c r="X96" s="63">
        <f>iferror('Quarterly Revenue&amp;EBITDA'!X96/'Quarterly Revenue&amp;EBITDA'!X92 - 1, "")</f>
        <v>-0.3412842632</v>
      </c>
      <c r="Y96" s="63">
        <f>iferror('Quarterly Revenue&amp;EBITDA'!Y96/'Quarterly Revenue&amp;EBITDA'!Y92 - 1, "")</f>
        <v>-0.6628519692</v>
      </c>
      <c r="Z96" s="63">
        <f>iferror('Quarterly Revenue&amp;EBITDA'!Z96/'Quarterly Revenue&amp;EBITDA'!Z92 - 1, "")</f>
        <v>-0.5959768085</v>
      </c>
      <c r="AA96" s="63">
        <f>iferror('Quarterly Revenue&amp;EBITDA'!AA96/'Quarterly Revenue&amp;EBITDA'!AA92 - 1, "")</f>
        <v>-0.615159241</v>
      </c>
      <c r="AB96" s="63">
        <f>iferror('Quarterly Revenue&amp;EBITDA'!AB96/'Quarterly Revenue&amp;EBITDA'!AB92 - 1, "")</f>
        <v>-0.6431967233</v>
      </c>
      <c r="AC96" s="63">
        <f>iferror('Quarterly Revenue&amp;EBITDA'!AC96/'Quarterly Revenue&amp;EBITDA'!AC92 - 1, "")</f>
        <v>-0.3711213178</v>
      </c>
      <c r="AD96" s="43"/>
    </row>
    <row r="97">
      <c r="A97" s="42" t="s">
        <v>124</v>
      </c>
      <c r="B97" s="63">
        <f>iferror('Quarterly Revenue&amp;EBITDA'!B97/'Quarterly Revenue&amp;EBITDA'!B93 - 1, "")</f>
        <v>-0.184690158</v>
      </c>
      <c r="C97" s="63">
        <f>iferror('Quarterly Revenue&amp;EBITDA'!C97/'Quarterly Revenue&amp;EBITDA'!C93 - 1, "")</f>
        <v>-0.4761904762</v>
      </c>
      <c r="D97" s="63">
        <f>iferror('Quarterly Revenue&amp;EBITDA'!D97/'Quarterly Revenue&amp;EBITDA'!D93 - 1, "")</f>
        <v>-0.5772906127</v>
      </c>
      <c r="E97" s="63">
        <f>iferror('Quarterly Revenue&amp;EBITDA'!E97/'Quarterly Revenue&amp;EBITDA'!E93 - 1, "")</f>
        <v>-0.4520081688</v>
      </c>
      <c r="F97" s="63">
        <f>iferror('Quarterly Revenue&amp;EBITDA'!F97/'Quarterly Revenue&amp;EBITDA'!F93 - 1, "")</f>
        <v>-0.6471962617</v>
      </c>
      <c r="G97" s="63">
        <f>iferror('Quarterly Revenue&amp;EBITDA'!G97/'Quarterly Revenue&amp;EBITDA'!G93 - 1, "")</f>
        <v>-0.7580838323</v>
      </c>
      <c r="H97" s="63">
        <f>iferror('Quarterly Revenue&amp;EBITDA'!H97/'Quarterly Revenue&amp;EBITDA'!H93 - 1, "")</f>
        <v>-0.753758053</v>
      </c>
      <c r="I97" s="63">
        <f>iferror('Quarterly Revenue&amp;EBITDA'!I97/'Quarterly Revenue&amp;EBITDA'!I93 - 1, "")</f>
        <v>-0.9113636364</v>
      </c>
      <c r="J97" s="63">
        <f>iferror('Quarterly Revenue&amp;EBITDA'!J97/'Quarterly Revenue&amp;EBITDA'!J93 - 1, "")</f>
        <v>-0.8046830625</v>
      </c>
      <c r="K97" s="63" t="str">
        <f>iferror('Quarterly Revenue&amp;EBITDA'!K97/'Quarterly Revenue&amp;EBITDA'!K93 - 1, "")</f>
        <v/>
      </c>
      <c r="L97" s="63">
        <f>iferror('Quarterly Revenue&amp;EBITDA'!L97/'Quarterly Revenue&amp;EBITDA'!L93 - 1, "")</f>
        <v>-0.9136582293</v>
      </c>
      <c r="M97" s="63">
        <f>iferror('Quarterly Revenue&amp;EBITDA'!M97/'Quarterly Revenue&amp;EBITDA'!M93 - 1, "")</f>
        <v>-0.8122503329</v>
      </c>
      <c r="N97" s="63">
        <f>iferror('Quarterly Revenue&amp;EBITDA'!N97/'Quarterly Revenue&amp;EBITDA'!N93 - 1, "")</f>
        <v>-0.8854904886</v>
      </c>
      <c r="O97" s="63">
        <f>iferror('Quarterly Revenue&amp;EBITDA'!O97/'Quarterly Revenue&amp;EBITDA'!O93 - 1, "")</f>
        <v>-0.8950504125</v>
      </c>
      <c r="P97" s="63" t="str">
        <f>iferror('Quarterly Revenue&amp;EBITDA'!P97/'Quarterly Revenue&amp;EBITDA'!P93 - 1, "")</f>
        <v/>
      </c>
      <c r="Q97" s="63" t="str">
        <f>iferror('Quarterly Revenue&amp;EBITDA'!Q97/'Quarterly Revenue&amp;EBITDA'!Q93 - 1, "")</f>
        <v/>
      </c>
      <c r="R97" s="63"/>
      <c r="S97" s="63">
        <f>iferror('Quarterly Revenue&amp;EBITDA'!S97/'Quarterly Revenue&amp;EBITDA'!S93 - 1, "")</f>
        <v>-0.6712044395</v>
      </c>
      <c r="T97" s="63">
        <f>iferror('Quarterly Revenue&amp;EBITDA'!T97/'Quarterly Revenue&amp;EBITDA'!T93 - 1, "")</f>
        <v>-0.1581765877</v>
      </c>
      <c r="U97" s="63">
        <f>iferror('Quarterly Revenue&amp;EBITDA'!U97/'Quarterly Revenue&amp;EBITDA'!U93 - 1, "")</f>
        <v>-0.8561324546</v>
      </c>
      <c r="V97" s="62"/>
      <c r="W97" s="62"/>
      <c r="X97" s="63">
        <f>iferror('Quarterly Revenue&amp;EBITDA'!X97/'Quarterly Revenue&amp;EBITDA'!X93 - 1, "")</f>
        <v>-0.6617293684</v>
      </c>
      <c r="Y97" s="63">
        <f>iferror('Quarterly Revenue&amp;EBITDA'!Y97/'Quarterly Revenue&amp;EBITDA'!Y93 - 1, "")</f>
        <v>-0.6628519692</v>
      </c>
      <c r="Z97" s="63">
        <f>iferror('Quarterly Revenue&amp;EBITDA'!Z97/'Quarterly Revenue&amp;EBITDA'!Z93 - 1, "")</f>
        <v>-0.5959768085</v>
      </c>
      <c r="AA97" s="63">
        <f>iferror('Quarterly Revenue&amp;EBITDA'!AA97/'Quarterly Revenue&amp;EBITDA'!AA93 - 1, "")</f>
        <v>-0.615159241</v>
      </c>
      <c r="AB97" s="63">
        <f>iferror('Quarterly Revenue&amp;EBITDA'!AB97/'Quarterly Revenue&amp;EBITDA'!AB93 - 1, "")</f>
        <v>-0.6431967233</v>
      </c>
      <c r="AC97" s="63">
        <f>iferror('Quarterly Revenue&amp;EBITDA'!AC97/'Quarterly Revenue&amp;EBITDA'!AC93 - 1, "")</f>
        <v>-0.3711213178</v>
      </c>
      <c r="AD97" s="43"/>
    </row>
    <row r="98">
      <c r="A98" s="42" t="s">
        <v>125</v>
      </c>
      <c r="B98" s="63">
        <f>iferror('Quarterly Revenue&amp;EBITDA'!B98/'Quarterly Revenue&amp;EBITDA'!B94 - 1, "")</f>
        <v>-0.224028907</v>
      </c>
      <c r="C98" s="63">
        <f>iferror('Quarterly Revenue&amp;EBITDA'!C98/'Quarterly Revenue&amp;EBITDA'!C94 - 1, "")</f>
        <v>-0.6292303085</v>
      </c>
      <c r="D98" s="63">
        <f>iferror('Quarterly Revenue&amp;EBITDA'!D98/'Quarterly Revenue&amp;EBITDA'!D94 - 1, "")</f>
        <v>-0.6650891882</v>
      </c>
      <c r="E98" s="63">
        <f>iferror('Quarterly Revenue&amp;EBITDA'!E98/'Quarterly Revenue&amp;EBITDA'!E94 - 1, "")</f>
        <v>-0.3382608696</v>
      </c>
      <c r="F98" s="63">
        <f>iferror('Quarterly Revenue&amp;EBITDA'!F98/'Quarterly Revenue&amp;EBITDA'!F94 - 1, "")</f>
        <v>-0.6537313433</v>
      </c>
      <c r="G98" s="63">
        <f>iferror('Quarterly Revenue&amp;EBITDA'!G98/'Quarterly Revenue&amp;EBITDA'!G94 - 1, "")</f>
        <v>-0.7922829582</v>
      </c>
      <c r="H98" s="63">
        <f>iferror('Quarterly Revenue&amp;EBITDA'!H98/'Quarterly Revenue&amp;EBITDA'!H94 - 1, "")</f>
        <v>-0.7722095672</v>
      </c>
      <c r="I98" s="63">
        <f>iferror('Quarterly Revenue&amp;EBITDA'!I98/'Quarterly Revenue&amp;EBITDA'!I94 - 1, "")</f>
        <v>-0.6342994505</v>
      </c>
      <c r="J98" s="63">
        <f>iferror('Quarterly Revenue&amp;EBITDA'!J98/'Quarterly Revenue&amp;EBITDA'!J94 - 1, "")</f>
        <v>-0.6132726072</v>
      </c>
      <c r="K98" s="63" t="str">
        <f>iferror('Quarterly Revenue&amp;EBITDA'!K98/'Quarterly Revenue&amp;EBITDA'!K94 - 1, "")</f>
        <v/>
      </c>
      <c r="L98" s="63">
        <f>iferror('Quarterly Revenue&amp;EBITDA'!L98/'Quarterly Revenue&amp;EBITDA'!L94 - 1, "")</f>
        <v>-0.7671387378</v>
      </c>
      <c r="M98" s="63">
        <f>iferror('Quarterly Revenue&amp;EBITDA'!M98/'Quarterly Revenue&amp;EBITDA'!M94 - 1, "")</f>
        <v>-0.7052380952</v>
      </c>
      <c r="N98" s="63">
        <f>iferror('Quarterly Revenue&amp;EBITDA'!N98/'Quarterly Revenue&amp;EBITDA'!N94 - 1, "")</f>
        <v>-0.7790267125</v>
      </c>
      <c r="O98" s="63">
        <f>iferror('Quarterly Revenue&amp;EBITDA'!O98/'Quarterly Revenue&amp;EBITDA'!O94 - 1, "")</f>
        <v>-0.8950504125</v>
      </c>
      <c r="P98" s="63" t="str">
        <f>iferror('Quarterly Revenue&amp;EBITDA'!P98/'Quarterly Revenue&amp;EBITDA'!P94 - 1, "")</f>
        <v/>
      </c>
      <c r="Q98" s="63" t="str">
        <f>iferror('Quarterly Revenue&amp;EBITDA'!Q98/'Quarterly Revenue&amp;EBITDA'!Q94 - 1, "")</f>
        <v/>
      </c>
      <c r="R98" s="63"/>
      <c r="S98" s="63">
        <f>iferror('Quarterly Revenue&amp;EBITDA'!S98/'Quarterly Revenue&amp;EBITDA'!S94 - 1, "")</f>
        <v>-0.6712044395</v>
      </c>
      <c r="T98" s="63">
        <f>iferror('Quarterly Revenue&amp;EBITDA'!T98/'Quarterly Revenue&amp;EBITDA'!T94 - 1, "")</f>
        <v>-0.1581765877</v>
      </c>
      <c r="U98" s="63">
        <f>iferror('Quarterly Revenue&amp;EBITDA'!U98/'Quarterly Revenue&amp;EBITDA'!U94 - 1, "")</f>
        <v>-0.8463771271</v>
      </c>
      <c r="V98" s="62"/>
      <c r="W98" s="62"/>
      <c r="X98" s="63">
        <f>iferror('Quarterly Revenue&amp;EBITDA'!X98/'Quarterly Revenue&amp;EBITDA'!X94 - 1, "")</f>
        <v>-0.6617293684</v>
      </c>
      <c r="Y98" s="63">
        <f>iferror('Quarterly Revenue&amp;EBITDA'!Y98/'Quarterly Revenue&amp;EBITDA'!Y94 - 1, "")</f>
        <v>-0.6628519692</v>
      </c>
      <c r="Z98" s="63">
        <f>iferror('Quarterly Revenue&amp;EBITDA'!Z98/'Quarterly Revenue&amp;EBITDA'!Z94 - 1, "")</f>
        <v>-0.5959768085</v>
      </c>
      <c r="AA98" s="63">
        <f>iferror('Quarterly Revenue&amp;EBITDA'!AA98/'Quarterly Revenue&amp;EBITDA'!AA94 - 1, "")</f>
        <v>-0.615159241</v>
      </c>
      <c r="AB98" s="63">
        <f>iferror('Quarterly Revenue&amp;EBITDA'!AB98/'Quarterly Revenue&amp;EBITDA'!AB94 - 1, "")</f>
        <v>-0.6431967233</v>
      </c>
      <c r="AC98" s="63">
        <f>iferror('Quarterly Revenue&amp;EBITDA'!AC98/'Quarterly Revenue&amp;EBITDA'!AC94 - 1, "")</f>
        <v>-0.3711213178</v>
      </c>
      <c r="AD98" s="43"/>
    </row>
    <row r="99">
      <c r="A99" s="42" t="s">
        <v>126</v>
      </c>
      <c r="B99" s="63">
        <f>iferror('Quarterly Revenue&amp;EBITDA'!B99/'Quarterly Revenue&amp;EBITDA'!B95 - 1, "")</f>
        <v>0.05358088925</v>
      </c>
      <c r="C99" s="63">
        <f>iferror('Quarterly Revenue&amp;EBITDA'!C99/'Quarterly Revenue&amp;EBITDA'!C95 - 1, "")</f>
        <v>-0.5013111888</v>
      </c>
      <c r="D99" s="63">
        <f>iferror('Quarterly Revenue&amp;EBITDA'!D99/'Quarterly Revenue&amp;EBITDA'!D95 - 1, "")</f>
        <v>-0.435943866</v>
      </c>
      <c r="E99" s="63">
        <f>iferror('Quarterly Revenue&amp;EBITDA'!E99/'Quarterly Revenue&amp;EBITDA'!E95 - 1, "")</f>
        <v>-0.06128550075</v>
      </c>
      <c r="F99" s="63">
        <f>iferror('Quarterly Revenue&amp;EBITDA'!F99/'Quarterly Revenue&amp;EBITDA'!F95 - 1, "")</f>
        <v>-0.5575539568</v>
      </c>
      <c r="G99" s="63">
        <f>iferror('Quarterly Revenue&amp;EBITDA'!G99/'Quarterly Revenue&amp;EBITDA'!G95 - 1, "")</f>
        <v>-0.7267525036</v>
      </c>
      <c r="H99" s="63">
        <f>iferror('Quarterly Revenue&amp;EBITDA'!H99/'Quarterly Revenue&amp;EBITDA'!H95 - 1, "")</f>
        <v>-0.7398444252</v>
      </c>
      <c r="I99" s="63">
        <f>iferror('Quarterly Revenue&amp;EBITDA'!I99/'Quarterly Revenue&amp;EBITDA'!I95 - 1, "")</f>
        <v>-0.3186596583</v>
      </c>
      <c r="J99" s="63">
        <f>iferror('Quarterly Revenue&amp;EBITDA'!J99/'Quarterly Revenue&amp;EBITDA'!J95 - 1, "")</f>
        <v>-0.2451260648</v>
      </c>
      <c r="K99" s="63" t="str">
        <f>iferror('Quarterly Revenue&amp;EBITDA'!K99/'Quarterly Revenue&amp;EBITDA'!K95 - 1, "")</f>
        <v/>
      </c>
      <c r="L99" s="63">
        <f>iferror('Quarterly Revenue&amp;EBITDA'!L99/'Quarterly Revenue&amp;EBITDA'!L95 - 1, "")</f>
        <v>-0.683823446</v>
      </c>
      <c r="M99" s="63">
        <f>iferror('Quarterly Revenue&amp;EBITDA'!M99/'Quarterly Revenue&amp;EBITDA'!M95 - 1, "")</f>
        <v>-0.4052453469</v>
      </c>
      <c r="N99" s="63">
        <f>iferror('Quarterly Revenue&amp;EBITDA'!N99/'Quarterly Revenue&amp;EBITDA'!N95 - 1, "")</f>
        <v>-0.6897844424</v>
      </c>
      <c r="O99" s="63">
        <f>iferror('Quarterly Revenue&amp;EBITDA'!O99/'Quarterly Revenue&amp;EBITDA'!O95 - 1, "")</f>
        <v>-0.6755646817</v>
      </c>
      <c r="P99" s="63" t="str">
        <f>iferror('Quarterly Revenue&amp;EBITDA'!P99/'Quarterly Revenue&amp;EBITDA'!P95 - 1, "")</f>
        <v/>
      </c>
      <c r="Q99" s="63" t="str">
        <f>iferror('Quarterly Revenue&amp;EBITDA'!Q99/'Quarterly Revenue&amp;EBITDA'!Q95 - 1, "")</f>
        <v/>
      </c>
      <c r="R99" s="63"/>
      <c r="S99" s="63">
        <f>iferror('Quarterly Revenue&amp;EBITDA'!S99/'Quarterly Revenue&amp;EBITDA'!S95 - 1, "")</f>
        <v>0.4459767619</v>
      </c>
      <c r="T99" s="63">
        <f>iferror('Quarterly Revenue&amp;EBITDA'!T99/'Quarterly Revenue&amp;EBITDA'!T95 - 1, "")</f>
        <v>-0.1581765877</v>
      </c>
      <c r="U99" s="63">
        <f>iferror('Quarterly Revenue&amp;EBITDA'!U99/'Quarterly Revenue&amp;EBITDA'!U95 - 1, "")</f>
        <v>-1.081522977</v>
      </c>
      <c r="V99" s="62"/>
      <c r="W99" s="62"/>
      <c r="X99" s="63">
        <f>iferror('Quarterly Revenue&amp;EBITDA'!X99/'Quarterly Revenue&amp;EBITDA'!X95 - 1, "")</f>
        <v>-0.6617293684</v>
      </c>
      <c r="Y99" s="63">
        <f>iferror('Quarterly Revenue&amp;EBITDA'!Y99/'Quarterly Revenue&amp;EBITDA'!Y95 - 1, "")</f>
        <v>0.1119213452</v>
      </c>
      <c r="Z99" s="63">
        <f>iferror('Quarterly Revenue&amp;EBITDA'!Z99/'Quarterly Revenue&amp;EBITDA'!Z95 - 1, "")</f>
        <v>0.3299557659</v>
      </c>
      <c r="AA99" s="63">
        <f>iferror('Quarterly Revenue&amp;EBITDA'!AA99/'Quarterly Revenue&amp;EBITDA'!AA95 - 1, "")</f>
        <v>0.413003398</v>
      </c>
      <c r="AB99" s="63">
        <f>iferror('Quarterly Revenue&amp;EBITDA'!AB99/'Quarterly Revenue&amp;EBITDA'!AB95 - 1, "")</f>
        <v>0.0456440041</v>
      </c>
      <c r="AC99" s="63">
        <f>iferror('Quarterly Revenue&amp;EBITDA'!AC99/'Quarterly Revenue&amp;EBITDA'!AC95 - 1, "")</f>
        <v>-0.1105525941</v>
      </c>
      <c r="AD99" s="43"/>
    </row>
    <row r="100">
      <c r="A100" s="42" t="s">
        <v>127</v>
      </c>
      <c r="B100" s="63">
        <f>iferror('Quarterly Revenue&amp;EBITDA'!B100/'Quarterly Revenue&amp;EBITDA'!B96 - 1, "")</f>
        <v>2.98835035</v>
      </c>
      <c r="C100" s="63">
        <f>iferror('Quarterly Revenue&amp;EBITDA'!C100/'Quarterly Revenue&amp;EBITDA'!C96 - 1, "")</f>
        <v>2.428571429</v>
      </c>
      <c r="D100" s="63">
        <f>iferror('Quarterly Revenue&amp;EBITDA'!D100/'Quarterly Revenue&amp;EBITDA'!D96 - 1, "")</f>
        <v>2.729681979</v>
      </c>
      <c r="E100" s="63">
        <f>iferror('Quarterly Revenue&amp;EBITDA'!E100/'Quarterly Revenue&amp;EBITDA'!E96 - 1, "")</f>
        <v>1.035714286</v>
      </c>
      <c r="F100" s="63">
        <f>iferror('Quarterly Revenue&amp;EBITDA'!F100/'Quarterly Revenue&amp;EBITDA'!F96 - 1, "")</f>
        <v>2.983050847</v>
      </c>
      <c r="G100" s="63">
        <f>iferror('Quarterly Revenue&amp;EBITDA'!G100/'Quarterly Revenue&amp;EBITDA'!G96 - 1, "")</f>
        <v>4.930062112</v>
      </c>
      <c r="H100" s="63">
        <f>iferror('Quarterly Revenue&amp;EBITDA'!H100/'Quarterly Revenue&amp;EBITDA'!H96 - 1, "")</f>
        <v>3.120481928</v>
      </c>
      <c r="I100" s="63">
        <f>iferror('Quarterly Revenue&amp;EBITDA'!I100/'Quarterly Revenue&amp;EBITDA'!I96 - 1, "")</f>
        <v>-7.501958763</v>
      </c>
      <c r="J100" s="63">
        <f>iferror('Quarterly Revenue&amp;EBITDA'!J100/'Quarterly Revenue&amp;EBITDA'!J96 - 1, "")</f>
        <v>4.16160981</v>
      </c>
      <c r="K100" s="63">
        <f>iferror('Quarterly Revenue&amp;EBITDA'!K100/'Quarterly Revenue&amp;EBITDA'!K96 - 1, "")</f>
        <v>1.686192692</v>
      </c>
      <c r="L100" s="63">
        <f>iferror('Quarterly Revenue&amp;EBITDA'!L100/'Quarterly Revenue&amp;EBITDA'!L96 - 1, "")</f>
        <v>5.624591731</v>
      </c>
      <c r="M100" s="63">
        <f>iferror('Quarterly Revenue&amp;EBITDA'!M100/'Quarterly Revenue&amp;EBITDA'!M96 - 1, "")</f>
        <v>3.140703518</v>
      </c>
      <c r="N100" s="63">
        <f>iferror('Quarterly Revenue&amp;EBITDA'!N100/'Quarterly Revenue&amp;EBITDA'!N96 - 1, "")</f>
        <v>6.896296296</v>
      </c>
      <c r="O100" s="63">
        <f>iferror('Quarterly Revenue&amp;EBITDA'!O100/'Quarterly Revenue&amp;EBITDA'!O96 - 1, "")</f>
        <v>0.1437371663</v>
      </c>
      <c r="P100" s="63" t="str">
        <f>iferror('Quarterly Revenue&amp;EBITDA'!P100/'Quarterly Revenue&amp;EBITDA'!P96 - 1, "")</f>
        <v/>
      </c>
      <c r="Q100" s="63" t="str">
        <f>iferror('Quarterly Revenue&amp;EBITDA'!Q100/'Quarterly Revenue&amp;EBITDA'!Q96 - 1, "")</f>
        <v/>
      </c>
      <c r="R100" s="63"/>
      <c r="S100" s="63">
        <f>iferror('Quarterly Revenue&amp;EBITDA'!S100/'Quarterly Revenue&amp;EBITDA'!S96 - 1, "")</f>
        <v>0.4459767619</v>
      </c>
      <c r="T100" s="63">
        <f>iferror('Quarterly Revenue&amp;EBITDA'!T100/'Quarterly Revenue&amp;EBITDA'!T96 - 1, "")</f>
        <v>0.6501761211</v>
      </c>
      <c r="U100" s="63">
        <f>iferror('Quarterly Revenue&amp;EBITDA'!U100/'Quarterly Revenue&amp;EBITDA'!U96 - 1, "")</f>
        <v>0.6243115657</v>
      </c>
      <c r="V100" s="62"/>
      <c r="W100" s="62"/>
      <c r="X100" s="63">
        <f>iferror('Quarterly Revenue&amp;EBITDA'!X100/'Quarterly Revenue&amp;EBITDA'!X96 - 1, "")</f>
        <v>-0.6617293684</v>
      </c>
      <c r="Y100" s="63">
        <f>iferror('Quarterly Revenue&amp;EBITDA'!Y100/'Quarterly Revenue&amp;EBITDA'!Y96 - 1, "")</f>
        <v>0.1119213452</v>
      </c>
      <c r="Z100" s="63">
        <f>iferror('Quarterly Revenue&amp;EBITDA'!Z100/'Quarterly Revenue&amp;EBITDA'!Z96 - 1, "")</f>
        <v>0.3299557659</v>
      </c>
      <c r="AA100" s="63">
        <f>iferror('Quarterly Revenue&amp;EBITDA'!AA100/'Quarterly Revenue&amp;EBITDA'!AA96 - 1, "")</f>
        <v>0.413003398</v>
      </c>
      <c r="AB100" s="63">
        <f>iferror('Quarterly Revenue&amp;EBITDA'!AB100/'Quarterly Revenue&amp;EBITDA'!AB96 - 1, "")</f>
        <v>0.0456440041</v>
      </c>
      <c r="AC100" s="63">
        <f>iferror('Quarterly Revenue&amp;EBITDA'!AC100/'Quarterly Revenue&amp;EBITDA'!AC96 - 1, "")</f>
        <v>-0.1105525941</v>
      </c>
      <c r="AD100" s="43"/>
    </row>
    <row r="101">
      <c r="A101" s="42" t="s">
        <v>128</v>
      </c>
      <c r="B101" s="63">
        <f>iferror('Quarterly Revenue&amp;EBITDA'!B101/'Quarterly Revenue&amp;EBITDA'!B97 - 1, "")</f>
        <v>0.6672369598</v>
      </c>
      <c r="C101" s="63">
        <f>iferror('Quarterly Revenue&amp;EBITDA'!C101/'Quarterly Revenue&amp;EBITDA'!C97 - 1, "")</f>
        <v>0.7712121212</v>
      </c>
      <c r="D101" s="63">
        <f>iferror('Quarterly Revenue&amp;EBITDA'!D101/'Quarterly Revenue&amp;EBITDA'!D97 - 1, "")</f>
        <v>0.9694148936</v>
      </c>
      <c r="E101" s="63">
        <f>iferror('Quarterly Revenue&amp;EBITDA'!E101/'Quarterly Revenue&amp;EBITDA'!E97 - 1, "")</f>
        <v>0.03229813665</v>
      </c>
      <c r="F101" s="63">
        <f>iferror('Quarterly Revenue&amp;EBITDA'!F101/'Quarterly Revenue&amp;EBITDA'!F97 - 1, "")</f>
        <v>1.006622517</v>
      </c>
      <c r="G101" s="63">
        <f>iferror('Quarterly Revenue&amp;EBITDA'!G101/'Quarterly Revenue&amp;EBITDA'!G97 - 1, "")</f>
        <v>1.287128713</v>
      </c>
      <c r="H101" s="63">
        <f>iferror('Quarterly Revenue&amp;EBITDA'!H101/'Quarterly Revenue&amp;EBITDA'!H97 - 1, "")</f>
        <v>1.904069767</v>
      </c>
      <c r="I101" s="63">
        <f>iferror('Quarterly Revenue&amp;EBITDA'!I101/'Quarterly Revenue&amp;EBITDA'!I97 - 1, "")</f>
        <v>6.125470085</v>
      </c>
      <c r="J101" s="63">
        <f>iferror('Quarterly Revenue&amp;EBITDA'!J101/'Quarterly Revenue&amp;EBITDA'!J97 - 1, "")</f>
        <v>1.928903164</v>
      </c>
      <c r="K101" s="63">
        <f>iferror('Quarterly Revenue&amp;EBITDA'!K101/'Quarterly Revenue&amp;EBITDA'!K97 - 1, "")</f>
        <v>1.686192692</v>
      </c>
      <c r="L101" s="63">
        <f>iferror('Quarterly Revenue&amp;EBITDA'!L101/'Quarterly Revenue&amp;EBITDA'!L97 - 1, "")</f>
        <v>5.170987498</v>
      </c>
      <c r="M101" s="63">
        <f>iferror('Quarterly Revenue&amp;EBITDA'!M101/'Quarterly Revenue&amp;EBITDA'!M97 - 1, "")</f>
        <v>0.4562647754</v>
      </c>
      <c r="N101" s="63">
        <f>iferror('Quarterly Revenue&amp;EBITDA'!N101/'Quarterly Revenue&amp;EBITDA'!N97 - 1, "")</f>
        <v>2.272529859</v>
      </c>
      <c r="O101" s="63">
        <f>iferror('Quarterly Revenue&amp;EBITDA'!O101/'Quarterly Revenue&amp;EBITDA'!O97 - 1, "")</f>
        <v>1.43231441</v>
      </c>
      <c r="P101" s="63" t="str">
        <f>iferror('Quarterly Revenue&amp;EBITDA'!P101/'Quarterly Revenue&amp;EBITDA'!P97 - 1, "")</f>
        <v/>
      </c>
      <c r="Q101" s="63" t="str">
        <f>iferror('Quarterly Revenue&amp;EBITDA'!Q101/'Quarterly Revenue&amp;EBITDA'!Q97 - 1, "")</f>
        <v/>
      </c>
      <c r="R101" s="63"/>
      <c r="S101" s="63">
        <f>iferror('Quarterly Revenue&amp;EBITDA'!S101/'Quarterly Revenue&amp;EBITDA'!S97 - 1, "")</f>
        <v>0.4459767619</v>
      </c>
      <c r="T101" s="63">
        <f>iferror('Quarterly Revenue&amp;EBITDA'!T101/'Quarterly Revenue&amp;EBITDA'!T97 - 1, "")</f>
        <v>0.6501761211</v>
      </c>
      <c r="U101" s="63">
        <f>iferror('Quarterly Revenue&amp;EBITDA'!U101/'Quarterly Revenue&amp;EBITDA'!U97 - 1, "")</f>
        <v>0.6966480447</v>
      </c>
      <c r="V101" s="62"/>
      <c r="W101" s="62"/>
      <c r="X101" s="63">
        <f>iferror('Quarterly Revenue&amp;EBITDA'!X101/'Quarterly Revenue&amp;EBITDA'!X97 - 1, "")</f>
        <v>0.5173112828</v>
      </c>
      <c r="Y101" s="63">
        <f>iferror('Quarterly Revenue&amp;EBITDA'!Y101/'Quarterly Revenue&amp;EBITDA'!Y97 - 1, "")</f>
        <v>0.1119213452</v>
      </c>
      <c r="Z101" s="63">
        <f>iferror('Quarterly Revenue&amp;EBITDA'!Z101/'Quarterly Revenue&amp;EBITDA'!Z97 - 1, "")</f>
        <v>0.3299557659</v>
      </c>
      <c r="AA101" s="63">
        <f>iferror('Quarterly Revenue&amp;EBITDA'!AA101/'Quarterly Revenue&amp;EBITDA'!AA97 - 1, "")</f>
        <v>0.413003398</v>
      </c>
      <c r="AB101" s="63">
        <f>iferror('Quarterly Revenue&amp;EBITDA'!AB101/'Quarterly Revenue&amp;EBITDA'!AB97 - 1, "")</f>
        <v>0.0456440041</v>
      </c>
      <c r="AC101" s="63">
        <f>iferror('Quarterly Revenue&amp;EBITDA'!AC101/'Quarterly Revenue&amp;EBITDA'!AC97 - 1, "")</f>
        <v>-0.1105525941</v>
      </c>
      <c r="AD101" s="43"/>
    </row>
    <row r="102">
      <c r="A102" s="42" t="s">
        <v>129</v>
      </c>
      <c r="B102" s="63">
        <f>iferror('Quarterly Revenue&amp;EBITDA'!B102/'Quarterly Revenue&amp;EBITDA'!B98 - 1, "")</f>
        <v>0.7836973225</v>
      </c>
      <c r="C102" s="63">
        <f>iferror('Quarterly Revenue&amp;EBITDA'!C102/'Quarterly Revenue&amp;EBITDA'!C98 - 1, "")</f>
        <v>1.407915994</v>
      </c>
      <c r="D102" s="63">
        <f>iferror('Quarterly Revenue&amp;EBITDA'!D102/'Quarterly Revenue&amp;EBITDA'!D98 - 1, "")</f>
        <v>1.477173913</v>
      </c>
      <c r="E102" s="63">
        <f>iferror('Quarterly Revenue&amp;EBITDA'!E102/'Quarterly Revenue&amp;EBITDA'!E98 - 1, "")</f>
        <v>-0.03416557162</v>
      </c>
      <c r="F102" s="63">
        <f>iferror('Quarterly Revenue&amp;EBITDA'!F102/'Quarterly Revenue&amp;EBITDA'!F98 - 1, "")</f>
        <v>1.077586207</v>
      </c>
      <c r="G102" s="63">
        <f>iferror('Quarterly Revenue&amp;EBITDA'!G102/'Quarterly Revenue&amp;EBITDA'!G98 - 1, "")</f>
        <v>1.759318885</v>
      </c>
      <c r="H102" s="63">
        <f>iferror('Quarterly Revenue&amp;EBITDA'!H102/'Quarterly Revenue&amp;EBITDA'!H98 - 1, "")</f>
        <v>2.18</v>
      </c>
      <c r="I102" s="63">
        <f>iferror('Quarterly Revenue&amp;EBITDA'!I102/'Quarterly Revenue&amp;EBITDA'!I98 - 1, "")</f>
        <v>1.339255531</v>
      </c>
      <c r="J102" s="63">
        <f>iferror('Quarterly Revenue&amp;EBITDA'!J102/'Quarterly Revenue&amp;EBITDA'!J98 - 1, "")</f>
        <v>1.024838925</v>
      </c>
      <c r="K102" s="63">
        <f>iferror('Quarterly Revenue&amp;EBITDA'!K102/'Quarterly Revenue&amp;EBITDA'!K98 - 1, "")</f>
        <v>1.686192692</v>
      </c>
      <c r="L102" s="63">
        <f>iferror('Quarterly Revenue&amp;EBITDA'!L102/'Quarterly Revenue&amp;EBITDA'!L98 - 1, "")</f>
        <v>1.877336276</v>
      </c>
      <c r="M102" s="63">
        <f>iferror('Quarterly Revenue&amp;EBITDA'!M102/'Quarterly Revenue&amp;EBITDA'!M98 - 1, "")</f>
        <v>1.171243942</v>
      </c>
      <c r="N102" s="63">
        <f>iferror('Quarterly Revenue&amp;EBITDA'!N102/'Quarterly Revenue&amp;EBITDA'!N98 - 1, "")</f>
        <v>1.296229803</v>
      </c>
      <c r="O102" s="63">
        <f>iferror('Quarterly Revenue&amp;EBITDA'!O102/'Quarterly Revenue&amp;EBITDA'!O98 - 1, "")</f>
        <v>2.624454148</v>
      </c>
      <c r="P102" s="63"/>
      <c r="Q102" s="63" t="str">
        <f>iferror('Quarterly Revenue&amp;EBITDA'!Q102/'Quarterly Revenue&amp;EBITDA'!Q98 - 1, "")</f>
        <v/>
      </c>
      <c r="R102" s="63"/>
      <c r="S102" s="63">
        <f>iferror('Quarterly Revenue&amp;EBITDA'!S102/'Quarterly Revenue&amp;EBITDA'!S98 - 1, "")</f>
        <v>0.4459767619</v>
      </c>
      <c r="T102" s="63">
        <f>iferror('Quarterly Revenue&amp;EBITDA'!T102/'Quarterly Revenue&amp;EBITDA'!T98 - 1, "")</f>
        <v>0.6501761211</v>
      </c>
      <c r="U102" s="63">
        <f>iferror('Quarterly Revenue&amp;EBITDA'!U102/'Quarterly Revenue&amp;EBITDA'!U98 - 1, "")</f>
        <v>0.9907888521</v>
      </c>
      <c r="V102" s="62"/>
      <c r="W102" s="62"/>
      <c r="X102" s="63">
        <f>iferror('Quarterly Revenue&amp;EBITDA'!X102/'Quarterly Revenue&amp;EBITDA'!X98 - 1, "")</f>
        <v>0.5173112828</v>
      </c>
      <c r="Y102" s="63">
        <f>iferror('Quarterly Revenue&amp;EBITDA'!Y102/'Quarterly Revenue&amp;EBITDA'!Y98 - 1, "")</f>
        <v>0.1119213452</v>
      </c>
      <c r="Z102" s="63">
        <f>iferror('Quarterly Revenue&amp;EBITDA'!Z102/'Quarterly Revenue&amp;EBITDA'!Z98 - 1, "")</f>
        <v>0.3299557659</v>
      </c>
      <c r="AA102" s="63">
        <f>iferror('Quarterly Revenue&amp;EBITDA'!AA102/'Quarterly Revenue&amp;EBITDA'!AA98 - 1, "")</f>
        <v>0.413003398</v>
      </c>
      <c r="AB102" s="63">
        <f>iferror('Quarterly Revenue&amp;EBITDA'!AB102/'Quarterly Revenue&amp;EBITDA'!AB98 - 1, "")</f>
        <v>0.0456440041</v>
      </c>
      <c r="AC102" s="63">
        <f>iferror('Quarterly Revenue&amp;EBITDA'!AC102/'Quarterly Revenue&amp;EBITDA'!AC98 - 1, "")</f>
        <v>-0.1105525941</v>
      </c>
      <c r="AD102" s="43"/>
    </row>
    <row r="103">
      <c r="A103" s="42" t="s">
        <v>130</v>
      </c>
      <c r="B103" s="63">
        <f>iferror('Quarterly Revenue&amp;EBITDA'!B103/'Quarterly Revenue&amp;EBITDA'!B99 - 1, "")</f>
        <v>0.7012918632</v>
      </c>
      <c r="C103" s="63">
        <f>iferror('Quarterly Revenue&amp;EBITDA'!C103/'Quarterly Revenue&amp;EBITDA'!C99 - 1, "")</f>
        <v>1.36196319</v>
      </c>
      <c r="D103" s="63">
        <f>iferror('Quarterly Revenue&amp;EBITDA'!D103/'Quarterly Revenue&amp;EBITDA'!D99 - 1, "")</f>
        <v>0.804975923</v>
      </c>
      <c r="E103" s="63">
        <f>iferror('Quarterly Revenue&amp;EBITDA'!E103/'Quarterly Revenue&amp;EBITDA'!E99 - 1, "")</f>
        <v>0.03343949045</v>
      </c>
      <c r="F103" s="63">
        <f>iferror('Quarterly Revenue&amp;EBITDA'!F103/'Quarterly Revenue&amp;EBITDA'!F99 - 1, "")</f>
        <v>1.130081301</v>
      </c>
      <c r="G103" s="63">
        <f>iferror('Quarterly Revenue&amp;EBITDA'!G103/'Quarterly Revenue&amp;EBITDA'!G99 - 1, "")</f>
        <v>1.660680628</v>
      </c>
      <c r="H103" s="63">
        <f>iferror('Quarterly Revenue&amp;EBITDA'!H103/'Quarterly Revenue&amp;EBITDA'!H99 - 1, "")</f>
        <v>2.950166113</v>
      </c>
      <c r="I103" s="63">
        <f>iferror('Quarterly Revenue&amp;EBITDA'!I103/'Quarterly Revenue&amp;EBITDA'!I99 - 1, "")</f>
        <v>1.168061716</v>
      </c>
      <c r="J103" s="63">
        <f>iferror('Quarterly Revenue&amp;EBITDA'!J103/'Quarterly Revenue&amp;EBITDA'!J99 - 1, "")</f>
        <v>0.1182262279</v>
      </c>
      <c r="K103" s="63">
        <f>iferror('Quarterly Revenue&amp;EBITDA'!K103/'Quarterly Revenue&amp;EBITDA'!K99 - 1, "")</f>
        <v>1.686192692</v>
      </c>
      <c r="L103" s="63">
        <f>iferror('Quarterly Revenue&amp;EBITDA'!L103/'Quarterly Revenue&amp;EBITDA'!L99 - 1, "")</f>
        <v>1.693150264</v>
      </c>
      <c r="M103" s="63">
        <f>iferror('Quarterly Revenue&amp;EBITDA'!M103/'Quarterly Revenue&amp;EBITDA'!M99 - 1, "")</f>
        <v>0.750619609</v>
      </c>
      <c r="N103" s="63">
        <f>iferror('Quarterly Revenue&amp;EBITDA'!N103/'Quarterly Revenue&amp;EBITDA'!N99 - 1, "")</f>
        <v>1.462839879</v>
      </c>
      <c r="O103" s="63">
        <f>iferror('Quarterly Revenue&amp;EBITDA'!O103/'Quarterly Revenue&amp;EBITDA'!O99 - 1, "")</f>
        <v>4.253164557</v>
      </c>
      <c r="P103" s="63">
        <f>iferror('Quarterly Revenue&amp;EBITDA'!P103/'Quarterly Revenue&amp;EBITDA'!P99 - 1, "")</f>
        <v>-0.1622807018</v>
      </c>
      <c r="Q103" s="63" t="str">
        <f>iferror('Quarterly Revenue&amp;EBITDA'!Q103/'Quarterly Revenue&amp;EBITDA'!Q99 - 1, "")</f>
        <v/>
      </c>
      <c r="R103" s="63"/>
      <c r="S103" s="63">
        <f>iferror('Quarterly Revenue&amp;EBITDA'!S103/'Quarterly Revenue&amp;EBITDA'!S99 - 1, "")</f>
        <v>0.760063082</v>
      </c>
      <c r="T103" s="63">
        <f>iferror('Quarterly Revenue&amp;EBITDA'!T103/'Quarterly Revenue&amp;EBITDA'!T99 - 1, "")</f>
        <v>0.6501761211</v>
      </c>
      <c r="U103" s="63">
        <f>iferror('Quarterly Revenue&amp;EBITDA'!U103/'Quarterly Revenue&amp;EBITDA'!U99 - 1, "")</f>
        <v>0.1505050505</v>
      </c>
      <c r="V103" s="62"/>
      <c r="W103" s="62"/>
      <c r="X103" s="63">
        <f>iferror('Quarterly Revenue&amp;EBITDA'!X103/'Quarterly Revenue&amp;EBITDA'!X99 - 1, "")</f>
        <v>0.5173112828</v>
      </c>
      <c r="Y103" s="63">
        <f>iferror('Quarterly Revenue&amp;EBITDA'!Y103/'Quarterly Revenue&amp;EBITDA'!Y99 - 1, "")</f>
        <v>1.23665524</v>
      </c>
      <c r="Z103" s="63">
        <f>iferror('Quarterly Revenue&amp;EBITDA'!Z103/'Quarterly Revenue&amp;EBITDA'!Z99 - 1, "")</f>
        <v>1.228545462</v>
      </c>
      <c r="AA103" s="63">
        <f>iferror('Quarterly Revenue&amp;EBITDA'!AA103/'Quarterly Revenue&amp;EBITDA'!AA99 - 1, "")</f>
        <v>-0.6598481121</v>
      </c>
      <c r="AB103" s="63">
        <f>iferror('Quarterly Revenue&amp;EBITDA'!AB103/'Quarterly Revenue&amp;EBITDA'!AB99 - 1, "")</f>
        <v>-0.2393648304</v>
      </c>
      <c r="AC103" s="63">
        <f>iferror('Quarterly Revenue&amp;EBITDA'!AC103/'Quarterly Revenue&amp;EBITDA'!AC99 - 1, "")</f>
        <v>0.7246824866</v>
      </c>
      <c r="AD103" s="43"/>
    </row>
    <row r="104">
      <c r="A104" s="42" t="s">
        <v>131</v>
      </c>
      <c r="B104" s="63">
        <f>iferror('Quarterly Revenue&amp;EBITDA'!B104/'Quarterly Revenue&amp;EBITDA'!B100 - 1, "")</f>
        <v>0.5758787474</v>
      </c>
      <c r="C104" s="63">
        <f>iferror('Quarterly Revenue&amp;EBITDA'!C104/'Quarterly Revenue&amp;EBITDA'!C100 - 1, "")</f>
        <v>0.987962963</v>
      </c>
      <c r="D104" s="63">
        <f>iferror('Quarterly Revenue&amp;EBITDA'!D104/'Quarterly Revenue&amp;EBITDA'!D100 - 1, "")</f>
        <v>0.5068687826</v>
      </c>
      <c r="E104" s="63">
        <f>iferror('Quarterly Revenue&amp;EBITDA'!E104/'Quarterly Revenue&amp;EBITDA'!E100 - 1, "")</f>
        <v>-0.3432017544</v>
      </c>
      <c r="F104" s="63">
        <f>iferror('Quarterly Revenue&amp;EBITDA'!F104/'Quarterly Revenue&amp;EBITDA'!F100 - 1, "")</f>
        <v>0.7744680851</v>
      </c>
      <c r="G104" s="63">
        <f>iferror('Quarterly Revenue&amp;EBITDA'!G104/'Quarterly Revenue&amp;EBITDA'!G100 - 1, "")</f>
        <v>0.5163185789</v>
      </c>
      <c r="H104" s="63">
        <f>iferror('Quarterly Revenue&amp;EBITDA'!H104/'Quarterly Revenue&amp;EBITDA'!H100 - 1, "")</f>
        <v>1.130116959</v>
      </c>
      <c r="I104" s="63">
        <f>iferror('Quarterly Revenue&amp;EBITDA'!I104/'Quarterly Revenue&amp;EBITDA'!I100 - 1, "")</f>
        <v>1.13133235</v>
      </c>
      <c r="J104" s="63">
        <f>iferror('Quarterly Revenue&amp;EBITDA'!J104/'Quarterly Revenue&amp;EBITDA'!J100 - 1, "")</f>
        <v>3.347242104</v>
      </c>
      <c r="K104" s="63">
        <f>iferror('Quarterly Revenue&amp;EBITDA'!K104/'Quarterly Revenue&amp;EBITDA'!K100 - 1, "")</f>
        <v>0.2149642523</v>
      </c>
      <c r="L104" s="63">
        <f>iferror('Quarterly Revenue&amp;EBITDA'!L104/'Quarterly Revenue&amp;EBITDA'!L100 - 1, "")</f>
        <v>0.2744747394</v>
      </c>
      <c r="M104" s="63">
        <f>iferror('Quarterly Revenue&amp;EBITDA'!M104/'Quarterly Revenue&amp;EBITDA'!M100 - 1, "")</f>
        <v>0.3475643315</v>
      </c>
      <c r="N104" s="63">
        <f>iferror('Quarterly Revenue&amp;EBITDA'!N104/'Quarterly Revenue&amp;EBITDA'!N100 - 1, "")</f>
        <v>1.606003752</v>
      </c>
      <c r="O104" s="63">
        <f>iferror('Quarterly Revenue&amp;EBITDA'!O104/'Quarterly Revenue&amp;EBITDA'!O100 - 1, "")</f>
        <v>2.156193896</v>
      </c>
      <c r="P104" s="63">
        <f>iferror('Quarterly Revenue&amp;EBITDA'!P104/'Quarterly Revenue&amp;EBITDA'!P100 - 1, "")</f>
        <v>1.271929825</v>
      </c>
      <c r="Q104" s="63" t="str">
        <f>iferror('Quarterly Revenue&amp;EBITDA'!Q104/'Quarterly Revenue&amp;EBITDA'!Q100 - 1, "")</f>
        <v/>
      </c>
      <c r="R104" s="63"/>
      <c r="S104" s="63">
        <f>iferror('Quarterly Revenue&amp;EBITDA'!S104/'Quarterly Revenue&amp;EBITDA'!S100 - 1, "")</f>
        <v>0.760063082</v>
      </c>
      <c r="T104" s="63">
        <f>iferror('Quarterly Revenue&amp;EBITDA'!T104/'Quarterly Revenue&amp;EBITDA'!T100 - 1, "")</f>
        <v>0.3151372949</v>
      </c>
      <c r="U104" s="63">
        <f>iferror('Quarterly Revenue&amp;EBITDA'!U104/'Quarterly Revenue&amp;EBITDA'!U100 - 1, "")</f>
        <v>1.755388714</v>
      </c>
      <c r="V104" s="62"/>
      <c r="W104" s="62"/>
      <c r="X104" s="63">
        <f>iferror('Quarterly Revenue&amp;EBITDA'!X104/'Quarterly Revenue&amp;EBITDA'!X100 - 1, "")</f>
        <v>0.5173112828</v>
      </c>
      <c r="Y104" s="63">
        <f>iferror('Quarterly Revenue&amp;EBITDA'!Y104/'Quarterly Revenue&amp;EBITDA'!Y100 - 1, "")</f>
        <v>1.23665524</v>
      </c>
      <c r="Z104" s="63">
        <f>iferror('Quarterly Revenue&amp;EBITDA'!Z104/'Quarterly Revenue&amp;EBITDA'!Z100 - 1, "")</f>
        <v>1.228545462</v>
      </c>
      <c r="AA104" s="63">
        <f>iferror('Quarterly Revenue&amp;EBITDA'!AA104/'Quarterly Revenue&amp;EBITDA'!AA100 - 1, "")</f>
        <v>-0.6598481121</v>
      </c>
      <c r="AB104" s="63">
        <f>iferror('Quarterly Revenue&amp;EBITDA'!AB104/'Quarterly Revenue&amp;EBITDA'!AB100 - 1, "")</f>
        <v>-0.2393648304</v>
      </c>
      <c r="AC104" s="63">
        <f>iferror('Quarterly Revenue&amp;EBITDA'!AC104/'Quarterly Revenue&amp;EBITDA'!AC100 - 1, "")</f>
        <v>0.7246824866</v>
      </c>
      <c r="AD104" s="43"/>
    </row>
    <row r="105">
      <c r="A105" s="42" t="s">
        <v>132</v>
      </c>
      <c r="B105" s="63">
        <f>iferror('Quarterly Revenue&amp;EBITDA'!B105/'Quarterly Revenue&amp;EBITDA'!B101 - 1, "")</f>
        <v>0.2891609667</v>
      </c>
      <c r="C105" s="63">
        <f>iferror('Quarterly Revenue&amp;EBITDA'!C105/'Quarterly Revenue&amp;EBITDA'!C101 - 1, "")</f>
        <v>0.2942686056</v>
      </c>
      <c r="D105" s="63">
        <f>iferror('Quarterly Revenue&amp;EBITDA'!D105/'Quarterly Revenue&amp;EBITDA'!D101 - 1, "")</f>
        <v>0.2218095881</v>
      </c>
      <c r="E105" s="63">
        <f>iferror('Quarterly Revenue&amp;EBITDA'!E105/'Quarterly Revenue&amp;EBITDA'!E101 - 1, "")</f>
        <v>0.1660649819</v>
      </c>
      <c r="F105" s="63">
        <f>iferror('Quarterly Revenue&amp;EBITDA'!F105/'Quarterly Revenue&amp;EBITDA'!F101 - 1, "")</f>
        <v>0.5148514851</v>
      </c>
      <c r="G105" s="63">
        <f>iferror('Quarterly Revenue&amp;EBITDA'!G105/'Quarterly Revenue&amp;EBITDA'!G101 - 1, "")</f>
        <v>0.3253968254</v>
      </c>
      <c r="H105" s="63">
        <f>iferror('Quarterly Revenue&amp;EBITDA'!H105/'Quarterly Revenue&amp;EBITDA'!H101 - 1, "")</f>
        <v>0.4344344344</v>
      </c>
      <c r="I105" s="63">
        <f>iferror('Quarterly Revenue&amp;EBITDA'!I105/'Quarterly Revenue&amp;EBITDA'!I101 - 1, "")</f>
        <v>0.746425487</v>
      </c>
      <c r="J105" s="63">
        <f>iferror('Quarterly Revenue&amp;EBITDA'!J105/'Quarterly Revenue&amp;EBITDA'!J101 - 1, "")</f>
        <v>0.9451088487</v>
      </c>
      <c r="K105" s="63">
        <f>iferror('Quarterly Revenue&amp;EBITDA'!K105/'Quarterly Revenue&amp;EBITDA'!K101 - 1, "")</f>
        <v>0.2149642523</v>
      </c>
      <c r="L105" s="63">
        <f>iferror('Quarterly Revenue&amp;EBITDA'!L105/'Quarterly Revenue&amp;EBITDA'!L101 - 1, "")</f>
        <v>0.3697434216</v>
      </c>
      <c r="M105" s="63">
        <f>iferror('Quarterly Revenue&amp;EBITDA'!M105/'Quarterly Revenue&amp;EBITDA'!M101 - 1, "")</f>
        <v>0.9828446592</v>
      </c>
      <c r="N105" s="63">
        <f>iferror('Quarterly Revenue&amp;EBITDA'!N105/'Quarterly Revenue&amp;EBITDA'!N101 - 1, "")</f>
        <v>1.02786994</v>
      </c>
      <c r="O105" s="63">
        <f>iferror('Quarterly Revenue&amp;EBITDA'!O105/'Quarterly Revenue&amp;EBITDA'!O101 - 1, "")</f>
        <v>2.156193896</v>
      </c>
      <c r="P105" s="63">
        <f>iferror('Quarterly Revenue&amp;EBITDA'!P105/'Quarterly Revenue&amp;EBITDA'!P101 - 1, "")</f>
        <v>1.271929825</v>
      </c>
      <c r="Q105" s="63" t="str">
        <f>iferror('Quarterly Revenue&amp;EBITDA'!Q105/'Quarterly Revenue&amp;EBITDA'!Q101 - 1, "")</f>
        <v/>
      </c>
      <c r="R105" s="63"/>
      <c r="S105" s="63">
        <f>iferror('Quarterly Revenue&amp;EBITDA'!S105/'Quarterly Revenue&amp;EBITDA'!S101 - 1, "")</f>
        <v>0.760063082</v>
      </c>
      <c r="T105" s="63">
        <f>iferror('Quarterly Revenue&amp;EBITDA'!T105/'Quarterly Revenue&amp;EBITDA'!T101 - 1, "")</f>
        <v>0.6198622179</v>
      </c>
      <c r="U105" s="63">
        <f>iferror('Quarterly Revenue&amp;EBITDA'!U105/'Quarterly Revenue&amp;EBITDA'!U101 - 1, "")</f>
        <v>0.6820875864</v>
      </c>
      <c r="V105" s="62"/>
      <c r="W105" s="62"/>
      <c r="X105" s="63">
        <f>iferror('Quarterly Revenue&amp;EBITDA'!X105/'Quarterly Revenue&amp;EBITDA'!X101 - 1, "")</f>
        <v>1.100879958</v>
      </c>
      <c r="Y105" s="63">
        <f>iferror('Quarterly Revenue&amp;EBITDA'!Y105/'Quarterly Revenue&amp;EBITDA'!Y101 - 1, "")</f>
        <v>1.23665524</v>
      </c>
      <c r="Z105" s="63">
        <f>iferror('Quarterly Revenue&amp;EBITDA'!Z105/'Quarterly Revenue&amp;EBITDA'!Z101 - 1, "")</f>
        <v>1.228545462</v>
      </c>
      <c r="AA105" s="63">
        <f>iferror('Quarterly Revenue&amp;EBITDA'!AA105/'Quarterly Revenue&amp;EBITDA'!AA101 - 1, "")</f>
        <v>-0.6598481121</v>
      </c>
      <c r="AB105" s="63">
        <f>iferror('Quarterly Revenue&amp;EBITDA'!AB105/'Quarterly Revenue&amp;EBITDA'!AB101 - 1, "")</f>
        <v>-0.2393648304</v>
      </c>
      <c r="AC105" s="63">
        <f>iferror('Quarterly Revenue&amp;EBITDA'!AC105/'Quarterly Revenue&amp;EBITDA'!AC101 - 1, "")</f>
        <v>0.7246824866</v>
      </c>
      <c r="AD105" s="43"/>
    </row>
    <row r="106">
      <c r="A106" s="42" t="s">
        <v>133</v>
      </c>
      <c r="B106" s="63">
        <f>iferror('Quarterly Revenue&amp;EBITDA'!B106/'Quarterly Revenue&amp;EBITDA'!B102 - 1, "")</f>
        <v>0.2413555446</v>
      </c>
      <c r="C106" s="63">
        <f>iferror('Quarterly Revenue&amp;EBITDA'!C106/'Quarterly Revenue&amp;EBITDA'!C102 - 1, "")</f>
        <v>0.3582690372</v>
      </c>
      <c r="D106" s="63">
        <f>iferror('Quarterly Revenue&amp;EBITDA'!D106/'Quarterly Revenue&amp;EBITDA'!D102 - 1, "")</f>
        <v>0.1487494515</v>
      </c>
      <c r="E106" s="63">
        <f>iferror('Quarterly Revenue&amp;EBITDA'!E106/'Quarterly Revenue&amp;EBITDA'!E102 - 1, "")</f>
        <v>-0.006802721088</v>
      </c>
      <c r="F106" s="63">
        <f>iferror('Quarterly Revenue&amp;EBITDA'!F106/'Quarterly Revenue&amp;EBITDA'!F102 - 1, "")</f>
        <v>0.468879668</v>
      </c>
      <c r="G106" s="63">
        <f>iferror('Quarterly Revenue&amp;EBITDA'!G106/'Quarterly Revenue&amp;EBITDA'!G102 - 1, "")</f>
        <v>0.1768619707</v>
      </c>
      <c r="H106" s="63">
        <f>iferror('Quarterly Revenue&amp;EBITDA'!H106/'Quarterly Revenue&amp;EBITDA'!H102 - 1, "")</f>
        <v>0.3679245283</v>
      </c>
      <c r="I106" s="63">
        <f>iferror('Quarterly Revenue&amp;EBITDA'!I106/'Quarterly Revenue&amp;EBITDA'!I102 - 1, "")</f>
        <v>0.1684864639</v>
      </c>
      <c r="J106" s="63">
        <f>iferror('Quarterly Revenue&amp;EBITDA'!J106/'Quarterly Revenue&amp;EBITDA'!J102 - 1, "")</f>
        <v>0.482538275</v>
      </c>
      <c r="K106" s="63">
        <f>iferror('Quarterly Revenue&amp;EBITDA'!K106/'Quarterly Revenue&amp;EBITDA'!K102 - 1, "")</f>
        <v>0.2149642523</v>
      </c>
      <c r="L106" s="63">
        <f>iferror('Quarterly Revenue&amp;EBITDA'!L106/'Quarterly Revenue&amp;EBITDA'!L102 - 1, "")</f>
        <v>0.5400073731</v>
      </c>
      <c r="M106" s="63">
        <f>iferror('Quarterly Revenue&amp;EBITDA'!M106/'Quarterly Revenue&amp;EBITDA'!M102 - 1, "")</f>
        <v>-0.2082391118</v>
      </c>
      <c r="N106" s="63">
        <f>iferror('Quarterly Revenue&amp;EBITDA'!N106/'Quarterly Revenue&amp;EBITDA'!N102 - 1, "")</f>
        <v>0.4300234558</v>
      </c>
      <c r="O106" s="63">
        <f>iferror('Quarterly Revenue&amp;EBITDA'!O106/'Quarterly Revenue&amp;EBITDA'!O102 - 1, "")</f>
        <v>1.272289157</v>
      </c>
      <c r="P106" s="63">
        <f>iferror('Quarterly Revenue&amp;EBITDA'!P106/'Quarterly Revenue&amp;EBITDA'!P102 - 1, "")</f>
        <v>1.931937173</v>
      </c>
      <c r="Q106" s="63" t="str">
        <f>iferror('Quarterly Revenue&amp;EBITDA'!Q106/'Quarterly Revenue&amp;EBITDA'!Q102 - 1, "")</f>
        <v/>
      </c>
      <c r="R106" s="63"/>
      <c r="S106" s="63">
        <f>iferror('Quarterly Revenue&amp;EBITDA'!S106/'Quarterly Revenue&amp;EBITDA'!S102 - 1, "")</f>
        <v>0.760063082</v>
      </c>
      <c r="T106" s="63">
        <f>iferror('Quarterly Revenue&amp;EBITDA'!T106/'Quarterly Revenue&amp;EBITDA'!T102 - 1, "")</f>
        <v>1.01232393</v>
      </c>
      <c r="U106" s="63">
        <f>iferror('Quarterly Revenue&amp;EBITDA'!U106/'Quarterly Revenue&amp;EBITDA'!U102 - 1, "")</f>
        <v>0.2944596037</v>
      </c>
      <c r="V106" s="62"/>
      <c r="W106" s="62"/>
      <c r="X106" s="63">
        <f>iferror('Quarterly Revenue&amp;EBITDA'!X106/'Quarterly Revenue&amp;EBITDA'!X102 - 1, "")</f>
        <v>1.100879958</v>
      </c>
      <c r="Y106" s="63">
        <f>iferror('Quarterly Revenue&amp;EBITDA'!Y106/'Quarterly Revenue&amp;EBITDA'!Y102 - 1, "")</f>
        <v>1.23665524</v>
      </c>
      <c r="Z106" s="63">
        <f>iferror('Quarterly Revenue&amp;EBITDA'!Z106/'Quarterly Revenue&amp;EBITDA'!Z102 - 1, "")</f>
        <v>1.228545462</v>
      </c>
      <c r="AA106" s="63">
        <f>iferror('Quarterly Revenue&amp;EBITDA'!AA106/'Quarterly Revenue&amp;EBITDA'!AA102 - 1, "")</f>
        <v>-0.6598481121</v>
      </c>
      <c r="AB106" s="63">
        <f>iferror('Quarterly Revenue&amp;EBITDA'!AB106/'Quarterly Revenue&amp;EBITDA'!AB102 - 1, "")</f>
        <v>-0.2393648304</v>
      </c>
      <c r="AC106" s="63">
        <f>iferror('Quarterly Revenue&amp;EBITDA'!AC106/'Quarterly Revenue&amp;EBITDA'!AC102 - 1, "")</f>
        <v>0.7246824866</v>
      </c>
      <c r="AD106" s="43"/>
    </row>
    <row r="107">
      <c r="A107" s="42" t="s">
        <v>134</v>
      </c>
      <c r="B107" s="63">
        <f>iferror('Quarterly Revenue&amp;EBITDA'!B107/'Quarterly Revenue&amp;EBITDA'!B103 - 1, "")</f>
        <v>0.2048216725</v>
      </c>
      <c r="C107" s="63">
        <f>iferror('Quarterly Revenue&amp;EBITDA'!C107/'Quarterly Revenue&amp;EBITDA'!C103 - 1, "")</f>
        <v>0.4018552876</v>
      </c>
      <c r="D107" s="63">
        <f>iferror('Quarterly Revenue&amp;EBITDA'!D107/'Quarterly Revenue&amp;EBITDA'!D103 - 1, "")</f>
        <v>0.1849710983</v>
      </c>
      <c r="E107" s="63">
        <f>iferror('Quarterly Revenue&amp;EBITDA'!E107/'Quarterly Revenue&amp;EBITDA'!E103 - 1, "")</f>
        <v>1.066255778</v>
      </c>
      <c r="F107" s="63">
        <f>iferror('Quarterly Revenue&amp;EBITDA'!F107/'Quarterly Revenue&amp;EBITDA'!F103 - 1, "")</f>
        <v>0.4160305344</v>
      </c>
      <c r="G107" s="63">
        <f>iferror('Quarterly Revenue&amp;EBITDA'!G107/'Quarterly Revenue&amp;EBITDA'!G103 - 1, "")</f>
        <v>0.09246541648</v>
      </c>
      <c r="H107" s="63">
        <f>iferror('Quarterly Revenue&amp;EBITDA'!H107/'Quarterly Revenue&amp;EBITDA'!H103 - 1, "")</f>
        <v>0.2624053827</v>
      </c>
      <c r="I107" s="63">
        <f>iferror('Quarterly Revenue&amp;EBITDA'!I107/'Quarterly Revenue&amp;EBITDA'!I103 - 1, "")</f>
        <v>0.4118081378</v>
      </c>
      <c r="J107" s="63">
        <f>iferror('Quarterly Revenue&amp;EBITDA'!J107/'Quarterly Revenue&amp;EBITDA'!J103 - 1, "")</f>
        <v>0.6765778274</v>
      </c>
      <c r="K107" s="63">
        <f>iferror('Quarterly Revenue&amp;EBITDA'!K107/'Quarterly Revenue&amp;EBITDA'!K103 - 1, "")</f>
        <v>0.30129882</v>
      </c>
      <c r="L107" s="63">
        <f>iferror('Quarterly Revenue&amp;EBITDA'!L107/'Quarterly Revenue&amp;EBITDA'!L103 - 1, "")</f>
        <v>0.9768598528</v>
      </c>
      <c r="M107" s="63">
        <f>iferror('Quarterly Revenue&amp;EBITDA'!M107/'Quarterly Revenue&amp;EBITDA'!M103 - 1, "")</f>
        <v>0.2706766917</v>
      </c>
      <c r="N107" s="63">
        <f>iferror('Quarterly Revenue&amp;EBITDA'!N107/'Quarterly Revenue&amp;EBITDA'!N103 - 1, "")</f>
        <v>0.574828263</v>
      </c>
      <c r="O107" s="63">
        <f>iferror('Quarterly Revenue&amp;EBITDA'!O107/'Quarterly Revenue&amp;EBITDA'!O103 - 1, "")</f>
        <v>1.272289157</v>
      </c>
      <c r="P107" s="63">
        <f>iferror('Quarterly Revenue&amp;EBITDA'!P107/'Quarterly Revenue&amp;EBITDA'!P103 - 1, "")</f>
        <v>1.931937173</v>
      </c>
      <c r="Q107" s="63" t="str">
        <f>iferror('Quarterly Revenue&amp;EBITDA'!Q107/'Quarterly Revenue&amp;EBITDA'!Q103 - 1, "")</f>
        <v/>
      </c>
      <c r="R107" s="63"/>
      <c r="S107" s="63">
        <f>iferror('Quarterly Revenue&amp;EBITDA'!S107/'Quarterly Revenue&amp;EBITDA'!S103 - 1, "")</f>
        <v>0.1948140608</v>
      </c>
      <c r="T107" s="63">
        <f>iferror('Quarterly Revenue&amp;EBITDA'!T107/'Quarterly Revenue&amp;EBITDA'!T103 - 1, "")</f>
        <v>0.7362498969</v>
      </c>
      <c r="U107" s="63">
        <f>iferror('Quarterly Revenue&amp;EBITDA'!U107/'Quarterly Revenue&amp;EBITDA'!U103 - 1, "")</f>
        <v>0.8225260253</v>
      </c>
      <c r="V107" s="62"/>
      <c r="W107" s="62"/>
      <c r="X107" s="63">
        <f>iferror('Quarterly Revenue&amp;EBITDA'!X107/'Quarterly Revenue&amp;EBITDA'!X103 - 1, "")</f>
        <v>1.100879958</v>
      </c>
      <c r="Y107" s="63">
        <f>iferror('Quarterly Revenue&amp;EBITDA'!Y107/'Quarterly Revenue&amp;EBITDA'!Y103 - 1, "")</f>
        <v>0.2749103349</v>
      </c>
      <c r="Z107" s="63">
        <f>iferror('Quarterly Revenue&amp;EBITDA'!Z107/'Quarterly Revenue&amp;EBITDA'!Z103 - 1, "")</f>
        <v>0.7987019185</v>
      </c>
      <c r="AA107" s="63">
        <f>iferror('Quarterly Revenue&amp;EBITDA'!AA107/'Quarterly Revenue&amp;EBITDA'!AA103 - 1, "")</f>
        <v>0.1893926485</v>
      </c>
      <c r="AB107" s="63"/>
      <c r="AC107" s="63">
        <f>iferror('Quarterly Revenue&amp;EBITDA'!AC107/'Quarterly Revenue&amp;EBITDA'!AC103 - 1, "")</f>
        <v>0.3124980731</v>
      </c>
      <c r="AD107" s="43"/>
    </row>
    <row r="108">
      <c r="A108" s="42" t="s">
        <v>135</v>
      </c>
      <c r="B108" s="63">
        <f>iferror('Quarterly Revenue&amp;EBITDA'!B108/'Quarterly Revenue&amp;EBITDA'!B104 - 1, "")</f>
        <v>0.1805483276</v>
      </c>
      <c r="C108" s="63">
        <f>iferror('Quarterly Revenue&amp;EBITDA'!C108/'Quarterly Revenue&amp;EBITDA'!C104 - 1, "")</f>
        <v>0.2720074523</v>
      </c>
      <c r="D108" s="63">
        <f>iferror('Quarterly Revenue&amp;EBITDA'!D108/'Quarterly Revenue&amp;EBITDA'!D104 - 1, "")</f>
        <v>0.0556428796</v>
      </c>
      <c r="E108" s="63">
        <f>iferror('Quarterly Revenue&amp;EBITDA'!E108/'Quarterly Revenue&amp;EBITDA'!E104 - 1, "")</f>
        <v>1.594323873</v>
      </c>
      <c r="F108" s="63">
        <f>iferror('Quarterly Revenue&amp;EBITDA'!F108/'Quarterly Revenue&amp;EBITDA'!F104 - 1, "")</f>
        <v>0.1846522782</v>
      </c>
      <c r="G108" s="63">
        <f>iferror('Quarterly Revenue&amp;EBITDA'!G108/'Quarterly Revenue&amp;EBITDA'!G104 - 1, "")</f>
        <v>-0.1404513397</v>
      </c>
      <c r="H108" s="63">
        <f>iferror('Quarterly Revenue&amp;EBITDA'!H108/'Quarterly Revenue&amp;EBITDA'!H104 - 1, "")</f>
        <v>0.08098833219</v>
      </c>
      <c r="I108" s="63">
        <f>iferror('Quarterly Revenue&amp;EBITDA'!I108/'Quarterly Revenue&amp;EBITDA'!I104 - 1, "")</f>
        <v>0.231384977</v>
      </c>
      <c r="J108" s="63">
        <f>iferror('Quarterly Revenue&amp;EBITDA'!J108/'Quarterly Revenue&amp;EBITDA'!J104 - 1, "")</f>
        <v>0.3783147555</v>
      </c>
      <c r="K108" s="63">
        <f>iferror('Quarterly Revenue&amp;EBITDA'!K108 /'Quarterly Revenue&amp;EBITDA'!K104 - 1, "")</f>
        <v>0.2164312871</v>
      </c>
      <c r="L108" s="63">
        <f>iferror('Quarterly Revenue&amp;EBITDA'!L108/'Quarterly Revenue&amp;EBITDA'!L104 - 1, "")</f>
        <v>0.5506456071</v>
      </c>
      <c r="M108" s="63">
        <f>iferror('Quarterly Revenue&amp;EBITDA'!M108/'Quarterly Revenue&amp;EBITDA'!M104 - 1, "")</f>
        <v>0.55</v>
      </c>
      <c r="N108" s="63">
        <f>iferror('Quarterly Revenue&amp;EBITDA'!N108/'Quarterly Revenue&amp;EBITDA'!N104 - 1, "")</f>
        <v>0.4024478042</v>
      </c>
      <c r="O108" s="63">
        <f>iferror('Quarterly Revenue&amp;EBITDA'!O108/'Quarterly Revenue&amp;EBITDA'!O104 - 1, "")</f>
        <v>0.3907849829</v>
      </c>
      <c r="P108" s="63">
        <f>iferror('Quarterly Revenue&amp;EBITDA'!P108/'Quarterly Revenue&amp;EBITDA'!P104 - 1, "")</f>
        <v>0.05984555985</v>
      </c>
      <c r="Q108" s="63"/>
      <c r="R108" s="63"/>
      <c r="S108" s="63">
        <f>iferror('Quarterly Revenue&amp;EBITDA'!S108/'Quarterly Revenue&amp;EBITDA'!S104 - 1, "")</f>
        <v>0.2189517186</v>
      </c>
      <c r="T108" s="63">
        <f>iferror('Quarterly Revenue&amp;EBITDA'!T108/'Quarterly Revenue&amp;EBITDA'!T104 - 1, "")</f>
        <v>0.2021910874</v>
      </c>
      <c r="U108" s="63">
        <f>iferror('Quarterly Revenue&amp;EBITDA'!U108/'Quarterly Revenue&amp;EBITDA'!U104 - 1, "")</f>
        <v>0.1844950338</v>
      </c>
      <c r="V108" s="62"/>
      <c r="W108" s="62"/>
      <c r="X108" s="63">
        <f>iferror('Quarterly Revenue&amp;EBITDA'!X108/'Quarterly Revenue&amp;EBITDA'!X104 - 1, "")</f>
        <v>1.100879958</v>
      </c>
      <c r="Y108" s="63">
        <f>iferror('Quarterly Revenue&amp;EBITDA'!Y108/'Quarterly Revenue&amp;EBITDA'!Y104 - 1, "")</f>
        <v>0.2749103349</v>
      </c>
      <c r="Z108" s="63">
        <f>iferror('Quarterly Revenue&amp;EBITDA'!Z108/'Quarterly Revenue&amp;EBITDA'!Z104 - 1, "")</f>
        <v>0.7987019185</v>
      </c>
      <c r="AA108" s="63">
        <f>iferror('Quarterly Revenue&amp;EBITDA'!AA108/'Quarterly Revenue&amp;EBITDA'!AA104 - 1, "")</f>
        <v>0.1893926485</v>
      </c>
      <c r="AB108" s="63"/>
      <c r="AC108" s="63">
        <f>iferror('Quarterly Revenue&amp;EBITDA'!AC108/'Quarterly Revenue&amp;EBITDA'!AC104 - 1, "")</f>
        <v>0.3124980731</v>
      </c>
      <c r="AD108" s="43"/>
    </row>
    <row r="109">
      <c r="A109" s="42" t="s">
        <v>136</v>
      </c>
      <c r="B109" s="63">
        <f>iferror('Quarterly Revenue&amp;EBITDA'!B109/'Quarterly Revenue&amp;EBITDA'!B105 - 1, "")</f>
        <v>0.1777105197</v>
      </c>
      <c r="C109" s="63">
        <f>iferror('Quarterly Revenue&amp;EBITDA'!C109/'Quarterly Revenue&amp;EBITDA'!C105 - 1, "")</f>
        <v>0.2129874422</v>
      </c>
      <c r="D109" s="63">
        <f>iferror('Quarterly Revenue&amp;EBITDA'!D109/'Quarterly Revenue&amp;EBITDA'!D105 - 1, "")</f>
        <v>0.08565902183</v>
      </c>
      <c r="E109" s="63">
        <f>iferror('Quarterly Revenue&amp;EBITDA'!E109/'Quarterly Revenue&amp;EBITDA'!E105 - 1, "")</f>
        <v>0.9453044376</v>
      </c>
      <c r="F109" s="63">
        <f>iferror('Quarterly Revenue&amp;EBITDA'!F109/'Quarterly Revenue&amp;EBITDA'!F105 - 1, "")</f>
        <v>0.1612200436</v>
      </c>
      <c r="G109" s="63">
        <f>iferror('Quarterly Revenue&amp;EBITDA'!G109/'Quarterly Revenue&amp;EBITDA'!G105 - 1, "")</f>
        <v>-0.140653239</v>
      </c>
      <c r="H109" s="63">
        <f>iferror('Quarterly Revenue&amp;EBITDA'!H109/'Quarterly Revenue&amp;EBITDA'!H105 - 1, "")</f>
        <v>0.182833217</v>
      </c>
      <c r="I109" s="63">
        <f>iferror('Quarterly Revenue&amp;EBITDA'!I109/'Quarterly Revenue&amp;EBITDA'!I105 - 1, "")</f>
        <v>0.2232478914</v>
      </c>
      <c r="J109" s="63">
        <f>iferror('Quarterly Revenue&amp;EBITDA'!J109/'Quarterly Revenue&amp;EBITDA'!J105 - 1, "")</f>
        <v>0.2852179743</v>
      </c>
      <c r="K109" s="63">
        <f>iferror('Quarterly Revenue&amp;EBITDA'!K109/'Quarterly Revenue&amp;EBITDA'!K105 - 1, "")</f>
        <v>0.2812107386</v>
      </c>
      <c r="L109" s="63">
        <f>iferror('Quarterly Revenue&amp;EBITDA'!L109/'Quarterly Revenue&amp;EBITDA'!L105 - 1, "")</f>
        <v>0.3959341004</v>
      </c>
      <c r="M109" s="63">
        <f>iferror('Quarterly Revenue&amp;EBITDA'!M109/'Quarterly Revenue&amp;EBITDA'!M105 - 1, "")</f>
        <v>0.5833333333</v>
      </c>
      <c r="N109" s="63">
        <f>iferror('Quarterly Revenue&amp;EBITDA'!N109/'Quarterly Revenue&amp;EBITDA'!N105 - 1, "")</f>
        <v>0.3303337696</v>
      </c>
      <c r="O109" s="63">
        <f>iferror('Quarterly Revenue&amp;EBITDA'!O109/'Quarterly Revenue&amp;EBITDA'!O105 - 1, "")</f>
        <v>0.3907849829</v>
      </c>
      <c r="P109" s="63">
        <f>iferror('Quarterly Revenue&amp;EBITDA'!P109/'Quarterly Revenue&amp;EBITDA'!P105 - 1, "")</f>
        <v>0.05984555985</v>
      </c>
      <c r="Q109" s="63"/>
      <c r="R109" s="63"/>
      <c r="S109" s="63">
        <f>iferror('Quarterly Revenue&amp;EBITDA'!S109/'Quarterly Revenue&amp;EBITDA'!S105 - 1, "")</f>
        <v>0.09289950567</v>
      </c>
      <c r="T109" s="63">
        <f>iferror('Quarterly Revenue&amp;EBITDA'!T109/'Quarterly Revenue&amp;EBITDA'!T105 - 1, "")</f>
        <v>0.142876976</v>
      </c>
      <c r="U109" s="63">
        <f>iferror('Quarterly Revenue&amp;EBITDA'!U109/'Quarterly Revenue&amp;EBITDA'!U105 - 1, "")</f>
        <v>0.1162767936</v>
      </c>
      <c r="V109" s="62"/>
      <c r="W109" s="62"/>
      <c r="X109" s="63">
        <f>iferror('Quarterly Revenue&amp;EBITDA'!X109/'Quarterly Revenue&amp;EBITDA'!X105 - 1, "")</f>
        <v>0.2103252121</v>
      </c>
      <c r="Y109" s="63">
        <f>iferror('Quarterly Revenue&amp;EBITDA'!Y109/'Quarterly Revenue&amp;EBITDA'!Y105 - 1, "")</f>
        <v>0.2749103349</v>
      </c>
      <c r="Z109" s="63">
        <f>iferror('Quarterly Revenue&amp;EBITDA'!Z109/'Quarterly Revenue&amp;EBITDA'!Z105 - 1, "")</f>
        <v>0.7987019185</v>
      </c>
      <c r="AA109" s="63">
        <f>iferror('Quarterly Revenue&amp;EBITDA'!AA109/'Quarterly Revenue&amp;EBITDA'!AA105 - 1, "")</f>
        <v>0.1893926485</v>
      </c>
      <c r="AB109" s="63"/>
      <c r="AC109" s="63">
        <f>iferror('Quarterly Revenue&amp;EBITDA'!AC109/'Quarterly Revenue&amp;EBITDA'!AC105 - 1, "")</f>
        <v>0.3124980731</v>
      </c>
      <c r="AD109" s="43"/>
    </row>
    <row r="110">
      <c r="A110" s="42" t="s">
        <v>137</v>
      </c>
      <c r="B110" s="63">
        <f>iferror('Quarterly Revenue&amp;EBITDA'!B110/'Quarterly Revenue&amp;EBITDA'!B106 - 1, "")</f>
        <v>0.1661409043</v>
      </c>
      <c r="C110" s="63">
        <f>iferror('Quarterly Revenue&amp;EBITDA'!C110/'Quarterly Revenue&amp;EBITDA'!C106 - 1, "")</f>
        <v>0.1815263028</v>
      </c>
      <c r="D110" s="63">
        <f>iferror('Quarterly Revenue&amp;EBITDA'!D110/'Quarterly Revenue&amp;EBITDA'!D106 - 1, "")</f>
        <v>0.102750191</v>
      </c>
      <c r="E110" s="63">
        <f>iferror('Quarterly Revenue&amp;EBITDA'!E110/'Quarterly Revenue&amp;EBITDA'!E106 - 1, "")</f>
        <v>0.9945205479</v>
      </c>
      <c r="F110" s="63">
        <f>iferror('Quarterly Revenue&amp;EBITDA'!F110/'Quarterly Revenue&amp;EBITDA'!F106 - 1, "")</f>
        <v>0.1016949153</v>
      </c>
      <c r="G110" s="63">
        <f>iferror('Quarterly Revenue&amp;EBITDA'!G110/'Quarterly Revenue&amp;EBITDA'!G106 - 1, "")</f>
        <v>-0.1257710532</v>
      </c>
      <c r="H110" s="63">
        <f>iferror('Quarterly Revenue&amp;EBITDA'!H110/'Quarterly Revenue&amp;EBITDA'!H106 - 1, "")</f>
        <v>0.1279693487</v>
      </c>
      <c r="I110" s="63">
        <f>iferror('Quarterly Revenue&amp;EBITDA'!I110/'Quarterly Revenue&amp;EBITDA'!I106 - 1, "")</f>
        <v>0.3993211582</v>
      </c>
      <c r="J110" s="63">
        <f>iferror('Quarterly Revenue&amp;EBITDA'!J110/'Quarterly Revenue&amp;EBITDA'!J106 - 1, "")</f>
        <v>0.2562072646</v>
      </c>
      <c r="K110" s="63">
        <f>iferror('Quarterly Revenue&amp;EBITDA'!K110/'Quarterly Revenue&amp;EBITDA'!K106 - 1, "")</f>
        <v>0.3313110646</v>
      </c>
      <c r="L110" s="63">
        <f>iferror('Quarterly Revenue&amp;EBITDA'!L110/'Quarterly Revenue&amp;EBITDA'!L106 - 1, "")</f>
        <v>0.3824765863</v>
      </c>
      <c r="M110" s="63">
        <f>iferror('Quarterly Revenue&amp;EBITDA'!M110/'Quarterly Revenue&amp;EBITDA'!M106 - 1, "")</f>
        <v>1.240667113</v>
      </c>
      <c r="N110" s="63">
        <f>iferror('Quarterly Revenue&amp;EBITDA'!N110/'Quarterly Revenue&amp;EBITDA'!N106 - 1, "")</f>
        <v>0.5039183525</v>
      </c>
      <c r="O110" s="63">
        <f>iferror('Quarterly Revenue&amp;EBITDA'!O110/'Quarterly Revenue&amp;EBITDA'!O106 - 1, "")</f>
        <v>0.2036055143</v>
      </c>
      <c r="P110" s="63">
        <f>iferror('Quarterly Revenue&amp;EBITDA'!P110/'Quarterly Revenue&amp;EBITDA'!P106 - 1, "")</f>
        <v>0.07142857143</v>
      </c>
      <c r="Q110" s="63"/>
      <c r="R110" s="63"/>
      <c r="S110" s="63">
        <f>iferror('Quarterly Revenue&amp;EBITDA'!S110/'Quarterly Revenue&amp;EBITDA'!S106 - 1, "")</f>
        <v>-0.1980933688</v>
      </c>
      <c r="T110" s="63">
        <f>iferror('Quarterly Revenue&amp;EBITDA'!T110/'Quarterly Revenue&amp;EBITDA'!T106 - 1, "")</f>
        <v>-0.006988474233</v>
      </c>
      <c r="U110" s="63">
        <f>iferror('Quarterly Revenue&amp;EBITDA'!U110/'Quarterly Revenue&amp;EBITDA'!U106 - 1, "")</f>
        <v>0.2251855925</v>
      </c>
      <c r="V110" s="62"/>
      <c r="W110" s="62"/>
      <c r="X110" s="63">
        <f>iferror('Quarterly Revenue&amp;EBITDA'!X110/'Quarterly Revenue&amp;EBITDA'!X106 - 1, "")</f>
        <v>0.2103252121</v>
      </c>
      <c r="Y110" s="63">
        <f>iferror('Quarterly Revenue&amp;EBITDA'!Y110/'Quarterly Revenue&amp;EBITDA'!Y106 - 1, "")</f>
        <v>0.2749103349</v>
      </c>
      <c r="Z110" s="63">
        <f>iferror('Quarterly Revenue&amp;EBITDA'!Z110/'Quarterly Revenue&amp;EBITDA'!Z106 - 1, "")</f>
        <v>0.7987019185</v>
      </c>
      <c r="AA110" s="63">
        <f>iferror('Quarterly Revenue&amp;EBITDA'!AA110/'Quarterly Revenue&amp;EBITDA'!AA106 - 1, "")</f>
        <v>0.1893926485</v>
      </c>
      <c r="AB110" s="63"/>
      <c r="AC110" s="63">
        <f>iferror('Quarterly Revenue&amp;EBITDA'!AC110/'Quarterly Revenue&amp;EBITDA'!AC106 - 1, "")</f>
        <v>0.3124980731</v>
      </c>
      <c r="AD110" s="43"/>
    </row>
    <row r="111">
      <c r="A111" s="42" t="s">
        <v>138</v>
      </c>
      <c r="B111" s="63">
        <f>iferror('Quarterly Revenue&amp;EBITDA'!B111/'Quarterly Revenue&amp;EBITDA'!B107 - 1, "")</f>
        <v>0.1782178218</v>
      </c>
      <c r="C111" s="63">
        <f>iferror('Quarterly Revenue&amp;EBITDA'!C111/'Quarterly Revenue&amp;EBITDA'!C107 - 1, "")</f>
        <v>0.168607729</v>
      </c>
      <c r="D111" s="63">
        <f>iferror('Quarterly Revenue&amp;EBITDA'!D111/'Quarterly Revenue&amp;EBITDA'!D107 - 1, "")</f>
        <v>0.08405253283</v>
      </c>
      <c r="E111" s="63">
        <f>iferror('Quarterly Revenue&amp;EBITDA'!E111/'Quarterly Revenue&amp;EBITDA'!E107 - 1, "")</f>
        <v>0.2311707681</v>
      </c>
      <c r="F111" s="63">
        <f>iferror('Quarterly Revenue&amp;EBITDA'!F111/'Quarterly Revenue&amp;EBITDA'!F107 - 1, "")</f>
        <v>0.06469002695</v>
      </c>
      <c r="G111" s="63">
        <f>iferror('Quarterly Revenue&amp;EBITDA'!G111/'Quarterly Revenue&amp;EBITDA'!G107 - 1, "")</f>
        <v>-0.08651248244</v>
      </c>
      <c r="H111" s="63">
        <f>iferror('Quarterly Revenue&amp;EBITDA'!H111/'Quarterly Revenue&amp;EBITDA'!H107 - 1, "")</f>
        <v>0.1219187209</v>
      </c>
      <c r="I111" s="63">
        <f>iferror('Quarterly Revenue&amp;EBITDA'!I111/'Quarterly Revenue&amp;EBITDA'!I107 - 1, "")</f>
        <v>0.09446968313</v>
      </c>
      <c r="J111" s="63">
        <f>iferror('Quarterly Revenue&amp;EBITDA'!J111/'Quarterly Revenue&amp;EBITDA'!J107 - 1, "")</f>
        <v>0.3660308504</v>
      </c>
      <c r="K111" s="63">
        <f>iferror('Quarterly Revenue&amp;EBITDA'!K111/'Quarterly Revenue&amp;EBITDA'!K107 - 1, "")</f>
        <v>0.2098709417</v>
      </c>
      <c r="L111" s="63">
        <f>iferror('Quarterly Revenue&amp;EBITDA'!L111/'Quarterly Revenue&amp;EBITDA'!L107 - 1, "")</f>
        <v>0.4766041899</v>
      </c>
      <c r="M111" s="63">
        <f>iferror('Quarterly Revenue&amp;EBITDA'!M111/'Quarterly Revenue&amp;EBITDA'!M107 - 1, "")</f>
        <v>0.2037818284</v>
      </c>
      <c r="N111" s="63">
        <f>iferror('Quarterly Revenue&amp;EBITDA'!N111/'Quarterly Revenue&amp;EBITDA'!N107 - 1, "")</f>
        <v>0.3971023524</v>
      </c>
      <c r="O111" s="63">
        <f>iferror('Quarterly Revenue&amp;EBITDA'!O111/'Quarterly Revenue&amp;EBITDA'!O107 - 1, "")</f>
        <v>0.2036055143</v>
      </c>
      <c r="P111" s="63">
        <f>iferror('Quarterly Revenue&amp;EBITDA'!P111/'Quarterly Revenue&amp;EBITDA'!P107 - 1, "")</f>
        <v>0.07142857143</v>
      </c>
      <c r="Q111" s="63"/>
      <c r="R111" s="63"/>
      <c r="S111" s="63">
        <f>iferror('Quarterly Revenue&amp;EBITDA'!S111/'Quarterly Revenue&amp;EBITDA'!S107 - 1, "")</f>
        <v>-0.1200897868</v>
      </c>
      <c r="T111" s="63">
        <f>iferror('Quarterly Revenue&amp;EBITDA'!T111/'Quarterly Revenue&amp;EBITDA'!T107 - 1, "")</f>
        <v>0.1855760015</v>
      </c>
      <c r="U111" s="63">
        <f>iferror('Quarterly Revenue&amp;EBITDA'!U111/'Quarterly Revenue&amp;EBITDA'!U107 - 1, "")</f>
        <v>-0.1141697061</v>
      </c>
      <c r="V111" s="62"/>
      <c r="W111" s="62"/>
      <c r="X111" s="63">
        <f>iferror('Quarterly Revenue&amp;EBITDA'!X111/'Quarterly Revenue&amp;EBITDA'!X107 - 1, "")</f>
        <v>0.2103252121</v>
      </c>
      <c r="Y111" s="63"/>
      <c r="Z111" s="63"/>
      <c r="AA111" s="63"/>
      <c r="AB111" s="63"/>
      <c r="AC111" s="63"/>
      <c r="AD111" s="43"/>
    </row>
    <row r="112">
      <c r="A112" s="42" t="s">
        <v>139</v>
      </c>
      <c r="B112" s="63">
        <f>iferror('Quarterly Revenue&amp;EBITDA'!B112/'Quarterly Revenue&amp;EBITDA'!B108 - 1, "")</f>
        <v>0.1062801932</v>
      </c>
      <c r="C112" s="63">
        <f>iferror('Quarterly Revenue&amp;EBITDA'!C112/'Quarterly Revenue&amp;EBITDA'!C108 - 1, "")</f>
        <v>0.07268399854</v>
      </c>
      <c r="D112" s="63">
        <f>iferror('Quarterly Revenue&amp;EBITDA'!D112/'Quarterly Revenue&amp;EBITDA'!D108 - 1, "")</f>
        <v>0.05955926147</v>
      </c>
      <c r="E112" s="63">
        <f>iferror('Quarterly Revenue&amp;EBITDA'!E112/'Quarterly Revenue&amp;EBITDA'!E108 - 1, "")</f>
        <v>0.1319176319</v>
      </c>
      <c r="F112" s="63">
        <f>iferror('Quarterly Revenue&amp;EBITDA'!F112/'Quarterly Revenue&amp;EBITDA'!F108 - 1, "")</f>
        <v>0.006072874494</v>
      </c>
      <c r="G112" s="63">
        <f>iferror('Quarterly Revenue&amp;EBITDA'!G112/'Quarterly Revenue&amp;EBITDA'!G108 - 1, "")</f>
        <v>-0.04724517021</v>
      </c>
      <c r="H112" s="63">
        <f>iferror('Quarterly Revenue&amp;EBITDA'!H112/'Quarterly Revenue&amp;EBITDA'!H108 - 1, "")</f>
        <v>0.01587301587</v>
      </c>
      <c r="I112" s="63">
        <f>iferror('Quarterly Revenue&amp;EBITDA'!I112/'Quarterly Revenue&amp;EBITDA'!I108 - 1, "")</f>
        <v>0.1179466422</v>
      </c>
      <c r="J112" s="63">
        <f>iferror('Quarterly Revenue&amp;EBITDA'!J112/'Quarterly Revenue&amp;EBITDA'!J108 - 1, "")</f>
        <v>0.2937411999</v>
      </c>
      <c r="K112" s="63">
        <f>iferror('Quarterly Revenue&amp;EBITDA'!K112/'Quarterly Revenue&amp;EBITDA'!K108 - 1, "")</f>
        <v>0.1685626958</v>
      </c>
      <c r="L112" s="63">
        <f>iferror('Quarterly Revenue&amp;EBITDA'!L112/'Quarterly Revenue&amp;EBITDA'!L108 - 1, "")</f>
        <v>0.2584497369</v>
      </c>
      <c r="M112" s="63">
        <f>iferror('Quarterly Revenue&amp;EBITDA'!M112/'Quarterly Revenue&amp;EBITDA'!M108 - 1, "")</f>
        <v>0.7419354839</v>
      </c>
      <c r="N112" s="63">
        <f>iferror('Quarterly Revenue&amp;EBITDA'!N112/'Quarterly Revenue&amp;EBITDA'!N108 - 1, "")</f>
        <v>0.6275667351</v>
      </c>
      <c r="O112" s="63"/>
      <c r="P112" s="63">
        <f>iferror('Quarterly Revenue&amp;EBITDA'!P112/'Quarterly Revenue&amp;EBITDA'!P108 - 1, "")</f>
        <v>0.131147541</v>
      </c>
      <c r="Q112" s="63" t="str">
        <f>iferror('Quarterly Revenue&amp;EBITDA'!Q112/'Quarterly Revenue&amp;EBITDA'!Q108 - 1, "")</f>
        <v/>
      </c>
      <c r="R112" s="63"/>
      <c r="S112" s="63">
        <f>iferror('Quarterly Revenue&amp;EBITDA'!S112/'Quarterly Revenue&amp;EBITDA'!S108 - 1, "")</f>
        <v>-0.05170517052</v>
      </c>
      <c r="T112" s="63">
        <f>iferror('Quarterly Revenue&amp;EBITDA'!T112/'Quarterly Revenue&amp;EBITDA'!T108 - 1, "")</f>
        <v>0.03965672562</v>
      </c>
      <c r="U112" s="63">
        <f>iferror('Quarterly Revenue&amp;EBITDA'!U112/'Quarterly Revenue&amp;EBITDA'!U108 - 1, "")</f>
        <v>-0.0643365984</v>
      </c>
      <c r="V112" s="62"/>
      <c r="W112" s="62"/>
      <c r="X112" s="63">
        <f>iferror('Quarterly Revenue&amp;EBITDA'!X112/'Quarterly Revenue&amp;EBITDA'!X108 - 1, "")</f>
        <v>0.2103252121</v>
      </c>
      <c r="Y112" s="63"/>
      <c r="Z112" s="63"/>
      <c r="AA112" s="63"/>
      <c r="AB112" s="63"/>
      <c r="AC112" s="63"/>
      <c r="AD112" s="43"/>
    </row>
    <row r="113">
      <c r="A113" s="42" t="s">
        <v>140</v>
      </c>
      <c r="B113" s="63">
        <f>iferror('Quarterly Revenue&amp;EBITDA'!B113/'Quarterly Revenue&amp;EBITDA'!B109 - 1, "")</f>
        <v>0.09861642626</v>
      </c>
      <c r="C113" s="63">
        <f>iferror('Quarterly Revenue&amp;EBITDA'!C113/'Quarterly Revenue&amp;EBITDA'!C109 - 1, "")</f>
        <v>0.08895245879</v>
      </c>
      <c r="D113" s="63">
        <f>iferror('Quarterly Revenue&amp;EBITDA'!D113/'Quarterly Revenue&amp;EBITDA'!D109 - 1, "")</f>
        <v>0.03334181726</v>
      </c>
      <c r="E113" s="63">
        <f>iferror('Quarterly Revenue&amp;EBITDA'!E113/'Quarterly Revenue&amp;EBITDA'!E109 - 1, "")</f>
        <v>0.2015915119</v>
      </c>
      <c r="F113" s="63">
        <f>iferror('Quarterly Revenue&amp;EBITDA'!F113/'Quarterly Revenue&amp;EBITDA'!F109 - 1, "")</f>
        <v>-0.001876172608</v>
      </c>
      <c r="G113" s="63">
        <f>iferror('Quarterly Revenue&amp;EBITDA'!G113/'Quarterly Revenue&amp;EBITDA'!G109 - 1, "")</f>
        <v>-0.07459046509</v>
      </c>
      <c r="H113" s="63">
        <f>iferror('Quarterly Revenue&amp;EBITDA'!H113/'Quarterly Revenue&amp;EBITDA'!H109 - 1, "")</f>
        <v>-0.01002949853</v>
      </c>
      <c r="I113" s="63">
        <f>iferror('Quarterly Revenue&amp;EBITDA'!I113/'Quarterly Revenue&amp;EBITDA'!I109 - 1, "")</f>
        <v>0.0887142055</v>
      </c>
      <c r="J113" s="63">
        <f>iferror('Quarterly Revenue&amp;EBITDA'!J113/'Quarterly Revenue&amp;EBITDA'!J109 - 1, "")</f>
        <v>0.2507736084</v>
      </c>
      <c r="K113" s="63">
        <f>iferror('Quarterly Revenue&amp;EBITDA'!K113/'Quarterly Revenue&amp;EBITDA'!K109 - 1, "")</f>
        <v>0.2695971005</v>
      </c>
      <c r="L113" s="63">
        <f>iferror('Quarterly Revenue&amp;EBITDA'!L113/'Quarterly Revenue&amp;EBITDA'!L109 - 1, "")</f>
        <v>0.242280062</v>
      </c>
      <c r="M113" s="63">
        <f>iferror('Quarterly Revenue&amp;EBITDA'!M113/'Quarterly Revenue&amp;EBITDA'!M109 - 1, "")</f>
        <v>0.008029760766</v>
      </c>
      <c r="N113" s="63">
        <f>iferror('Quarterly Revenue&amp;EBITDA'!N113/'Quarterly Revenue&amp;EBITDA'!N109 - 1, "")</f>
        <v>0.749354323</v>
      </c>
      <c r="O113" s="63"/>
      <c r="P113" s="63">
        <f>iferror('Quarterly Revenue&amp;EBITDA'!P113/'Quarterly Revenue&amp;EBITDA'!P109 - 1, "")</f>
        <v>0.131147541</v>
      </c>
      <c r="Q113" s="62"/>
      <c r="R113" s="63"/>
      <c r="S113" s="63">
        <f>iferror('Quarterly Revenue&amp;EBITDA'!S113/'Quarterly Revenue&amp;EBITDA'!S109 - 1, "")</f>
        <v>0.06380368098</v>
      </c>
      <c r="T113" s="63">
        <f>iferror('Quarterly Revenue&amp;EBITDA'!T113/'Quarterly Revenue&amp;EBITDA'!T109 - 1, "")</f>
        <v>-0.1158315854</v>
      </c>
      <c r="U113" s="63">
        <f>iferror('Quarterly Revenue&amp;EBITDA'!U113/'Quarterly Revenue&amp;EBITDA'!U109 - 1, "")</f>
        <v>1.47400263</v>
      </c>
      <c r="V113" s="62"/>
      <c r="W113" s="62"/>
      <c r="X113" s="62"/>
      <c r="Y113" s="63"/>
      <c r="Z113" s="63"/>
      <c r="AA113" s="63"/>
      <c r="AB113" s="63"/>
      <c r="AC113" s="63"/>
      <c r="AD113" s="43"/>
    </row>
    <row r="114">
      <c r="A114" s="42" t="s">
        <v>141</v>
      </c>
      <c r="B114" s="63">
        <f>iferror('Quarterly Revenue&amp;EBITDA'!B114/'Quarterly Revenue&amp;EBITDA'!B110 - 1, "")</f>
        <v>0.1181244364</v>
      </c>
      <c r="C114" s="63">
        <f>iferror('Quarterly Revenue&amp;EBITDA'!C114/'Quarterly Revenue&amp;EBITDA'!C110 - 1, "")</f>
        <v>0.1436036789</v>
      </c>
      <c r="D114" s="63">
        <f>iferror('Quarterly Revenue&amp;EBITDA'!D114/'Quarterly Revenue&amp;EBITDA'!D110 - 1, "")</f>
        <v>0.1028749567</v>
      </c>
      <c r="E114" s="63">
        <f>iferror('Quarterly Revenue&amp;EBITDA'!E114/'Quarterly Revenue&amp;EBITDA'!E110 - 1, "")</f>
        <v>0.2012362637</v>
      </c>
      <c r="F114" s="63">
        <f>iferror('Quarterly Revenue&amp;EBITDA'!F114/'Quarterly Revenue&amp;EBITDA'!F110 - 1, "")</f>
        <v>0.05384615385</v>
      </c>
      <c r="G114" s="63">
        <f>iferror('Quarterly Revenue&amp;EBITDA'!G114/'Quarterly Revenue&amp;EBITDA'!G110 - 1, "")</f>
        <v>0.03356707417</v>
      </c>
      <c r="H114" s="63">
        <f>iferror('Quarterly Revenue&amp;EBITDA'!H114/'Quarterly Revenue&amp;EBITDA'!H110 - 1, "")</f>
        <v>0.1012228261</v>
      </c>
      <c r="I114" s="63">
        <f>iferror('Quarterly Revenue&amp;EBITDA'!I114/'Quarterly Revenue&amp;EBITDA'!I110 - 1, "")</f>
        <v>-1</v>
      </c>
      <c r="J114" s="63">
        <f>iferror('Quarterly Revenue&amp;EBITDA'!J114/'Quarterly Revenue&amp;EBITDA'!J110 - 1, "")</f>
        <v>0.2480953804</v>
      </c>
      <c r="K114" s="63">
        <f>iferror('Quarterly Revenue&amp;EBITDA'!K114/'Quarterly Revenue&amp;EBITDA'!K110 - 1, "")</f>
        <v>0.4310827332</v>
      </c>
      <c r="L114" s="63">
        <f>iferror('Quarterly Revenue&amp;EBITDA'!L114/'Quarterly Revenue&amp;EBITDA'!L110 - 1, "")</f>
        <v>-1</v>
      </c>
      <c r="M114" s="63">
        <f>iferror('Quarterly Revenue&amp;EBITDA'!M114/'Quarterly Revenue&amp;EBITDA'!M110 - 1, "")</f>
        <v>-1</v>
      </c>
      <c r="N114" s="63">
        <f>iferror('Quarterly Revenue&amp;EBITDA'!N114/'Quarterly Revenue&amp;EBITDA'!N110 - 1, "")</f>
        <v>0.6792292778</v>
      </c>
      <c r="O114" s="62"/>
      <c r="P114" s="63">
        <f>iferror('Quarterly Revenue&amp;EBITDA'!P114/'Quarterly Revenue&amp;EBITDA'!P110 - 1, "")</f>
        <v>-1</v>
      </c>
      <c r="Q114" s="62"/>
      <c r="R114" s="62"/>
      <c r="S114" s="63">
        <f>iferror('Quarterly Revenue&amp;EBITDA'!S114/'Quarterly Revenue&amp;EBITDA'!S110 - 1, "")</f>
        <v>0.04515050167</v>
      </c>
      <c r="T114" s="63">
        <f>iferror('Quarterly Revenue&amp;EBITDA'!T114/'Quarterly Revenue&amp;EBITDA'!T110 - 1, "")</f>
        <v>-0.1707494579</v>
      </c>
      <c r="U114" s="63">
        <f>iferror('Quarterly Revenue&amp;EBITDA'!U114/'Quarterly Revenue&amp;EBITDA'!U110 - 1, "")</f>
        <v>1.055505685</v>
      </c>
      <c r="V114" s="62"/>
      <c r="W114" s="62"/>
      <c r="X114" s="62"/>
      <c r="Y114" s="63"/>
      <c r="Z114" s="63"/>
      <c r="AA114" s="63"/>
      <c r="AB114" s="63"/>
      <c r="AC114" s="63"/>
      <c r="AD114" s="43"/>
    </row>
    <row r="11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</row>
    <row r="116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</row>
    <row r="117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</row>
    <row r="118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</row>
    <row r="119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</row>
    <row r="120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</row>
    <row r="12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</row>
    <row r="12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</row>
    <row r="123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</row>
    <row r="124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</row>
    <row r="1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</row>
    <row r="126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</row>
    <row r="127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</row>
    <row r="128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</row>
    <row r="129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</row>
    <row r="130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</row>
    <row r="13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</row>
    <row r="13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</row>
    <row r="133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</row>
    <row r="134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</row>
    <row r="13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</row>
    <row r="13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</row>
    <row r="137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</row>
    <row r="138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</row>
    <row r="139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</row>
    <row r="140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</row>
    <row r="14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</row>
    <row r="14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</row>
    <row r="143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</row>
    <row r="144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</row>
    <row r="14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</row>
    <row r="146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</row>
    <row r="147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</row>
    <row r="148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</row>
    <row r="149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</row>
    <row r="150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</row>
    <row r="15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</row>
    <row r="15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</row>
    <row r="153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</row>
    <row r="154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</row>
    <row r="15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</row>
    <row r="156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</row>
    <row r="157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</row>
    <row r="158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</row>
    <row r="159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</row>
    <row r="160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</row>
    <row r="16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</row>
    <row r="16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</row>
    <row r="163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</row>
    <row r="164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</row>
    <row r="16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</row>
    <row r="166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</row>
    <row r="167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</row>
    <row r="168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</row>
    <row r="169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</row>
    <row r="170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</row>
    <row r="17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</row>
    <row r="172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</row>
    <row r="173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</row>
    <row r="174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</row>
    <row r="17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</row>
    <row r="176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</row>
    <row r="177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</row>
    <row r="178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</row>
    <row r="179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</row>
    <row r="180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</row>
    <row r="18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</row>
    <row r="182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</row>
    <row r="183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</row>
    <row r="184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</row>
    <row r="18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</row>
    <row r="186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</row>
    <row r="187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</row>
    <row r="188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</row>
    <row r="189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</row>
    <row r="190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</row>
    <row r="19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</row>
    <row r="192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</row>
    <row r="193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</row>
    <row r="194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</row>
    <row r="19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</row>
    <row r="196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</row>
    <row r="197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</row>
    <row r="198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</row>
    <row r="199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</row>
    <row r="200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</row>
    <row r="20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</row>
    <row r="202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</row>
    <row r="203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</row>
    <row r="204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</row>
    <row r="20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</row>
    <row r="206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</row>
    <row r="207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</row>
    <row r="208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</row>
    <row r="209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</row>
    <row r="210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</row>
    <row r="21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</row>
    <row r="212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</row>
    <row r="213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</row>
    <row r="214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</row>
    <row r="21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</row>
    <row r="216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</row>
    <row r="217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</row>
    <row r="218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</row>
    <row r="219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</row>
    <row r="220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</row>
    <row r="22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</row>
    <row r="22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</row>
    <row r="223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</row>
    <row r="224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</row>
    <row r="2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</row>
    <row r="226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</row>
    <row r="227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</row>
    <row r="228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</row>
    <row r="229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</row>
    <row r="230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</row>
    <row r="23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</row>
    <row r="23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</row>
    <row r="233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</row>
    <row r="234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</row>
    <row r="23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</row>
    <row r="236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</row>
    <row r="237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</row>
    <row r="238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</row>
    <row r="239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</row>
    <row r="240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</row>
    <row r="24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</row>
    <row r="242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</row>
    <row r="243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</row>
    <row r="244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</row>
    <row r="24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</row>
    <row r="246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</row>
    <row r="247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</row>
    <row r="248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</row>
    <row r="249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</row>
    <row r="250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</row>
    <row r="25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</row>
    <row r="252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</row>
    <row r="253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</row>
    <row r="254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</row>
    <row r="25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</row>
    <row r="256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</row>
    <row r="257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</row>
    <row r="258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</row>
    <row r="259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</row>
    <row r="260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</row>
    <row r="26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</row>
    <row r="262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</row>
    <row r="263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</row>
    <row r="264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</row>
    <row r="26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</row>
    <row r="266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</row>
    <row r="267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</row>
    <row r="268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</row>
    <row r="269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</row>
    <row r="270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</row>
    <row r="27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</row>
    <row r="272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</row>
    <row r="273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</row>
    <row r="274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</row>
    <row r="27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</row>
    <row r="276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</row>
    <row r="277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</row>
    <row r="278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</row>
    <row r="279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</row>
    <row r="280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</row>
    <row r="28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</row>
    <row r="282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</row>
    <row r="283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</row>
    <row r="284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</row>
    <row r="28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</row>
    <row r="286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</row>
    <row r="287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</row>
    <row r="288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</row>
    <row r="289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</row>
    <row r="290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</row>
    <row r="29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</row>
    <row r="292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</row>
    <row r="293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</row>
    <row r="294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</row>
    <row r="29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</row>
    <row r="296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</row>
    <row r="297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</row>
    <row r="298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</row>
    <row r="299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</row>
    <row r="300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</row>
    <row r="30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</row>
    <row r="302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</row>
    <row r="303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</row>
    <row r="304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</row>
    <row r="30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</row>
    <row r="306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</row>
    <row r="307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</row>
    <row r="308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</row>
    <row r="309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</row>
    <row r="310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</row>
    <row r="31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</row>
    <row r="312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</row>
    <row r="313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</row>
    <row r="314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</row>
    <row r="31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</row>
    <row r="316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</row>
    <row r="317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</row>
    <row r="318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</row>
    <row r="319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</row>
    <row r="320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</row>
    <row r="32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</row>
    <row r="322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</row>
    <row r="323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</row>
    <row r="324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</row>
    <row r="3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</row>
    <row r="326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</row>
    <row r="327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</row>
    <row r="328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</row>
    <row r="329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</row>
    <row r="330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</row>
    <row r="33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</row>
    <row r="332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</row>
    <row r="333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</row>
    <row r="334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</row>
    <row r="33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</row>
    <row r="336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</row>
    <row r="337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</row>
    <row r="338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</row>
    <row r="339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</row>
    <row r="340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</row>
    <row r="34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</row>
    <row r="342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</row>
    <row r="343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</row>
    <row r="344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</row>
    <row r="34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</row>
    <row r="346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</row>
    <row r="347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</row>
    <row r="348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</row>
    <row r="349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</row>
    <row r="350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</row>
    <row r="35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</row>
    <row r="352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</row>
    <row r="353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</row>
    <row r="354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</row>
    <row r="35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</row>
    <row r="356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</row>
    <row r="357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</row>
    <row r="358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</row>
    <row r="359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</row>
    <row r="360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</row>
    <row r="36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</row>
    <row r="362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</row>
    <row r="363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</row>
    <row r="364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</row>
    <row r="36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</row>
    <row r="366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</row>
    <row r="367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</row>
    <row r="368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</row>
    <row r="369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</row>
    <row r="370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</row>
    <row r="37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</row>
    <row r="372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</row>
    <row r="373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</row>
    <row r="374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</row>
    <row r="37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</row>
    <row r="376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</row>
    <row r="377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</row>
    <row r="378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</row>
    <row r="379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</row>
    <row r="380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</row>
    <row r="38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</row>
    <row r="382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</row>
    <row r="383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</row>
    <row r="384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</row>
    <row r="38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</row>
    <row r="386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</row>
    <row r="387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</row>
    <row r="388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</row>
    <row r="389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</row>
    <row r="390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</row>
    <row r="39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</row>
    <row r="392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</row>
    <row r="393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</row>
    <row r="394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</row>
    <row r="39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</row>
    <row r="396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</row>
    <row r="397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</row>
    <row r="398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</row>
    <row r="399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</row>
    <row r="400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</row>
    <row r="40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</row>
    <row r="402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</row>
    <row r="403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</row>
    <row r="404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</row>
    <row r="40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</row>
    <row r="406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</row>
    <row r="407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</row>
    <row r="408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</row>
    <row r="409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</row>
    <row r="410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</row>
    <row r="41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</row>
    <row r="412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</row>
    <row r="413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</row>
    <row r="414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</row>
    <row r="41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</row>
    <row r="416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</row>
    <row r="417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</row>
    <row r="418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</row>
    <row r="419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</row>
    <row r="420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</row>
    <row r="42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</row>
    <row r="422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</row>
    <row r="423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</row>
    <row r="424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</row>
    <row r="4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</row>
    <row r="426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</row>
    <row r="427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</row>
    <row r="428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</row>
    <row r="429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</row>
    <row r="430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</row>
    <row r="43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</row>
    <row r="432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</row>
    <row r="433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</row>
    <row r="434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</row>
    <row r="43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</row>
    <row r="436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</row>
    <row r="437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</row>
    <row r="438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</row>
    <row r="439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</row>
    <row r="440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</row>
    <row r="44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</row>
    <row r="442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</row>
    <row r="443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</row>
    <row r="444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</row>
    <row r="44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</row>
    <row r="446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</row>
    <row r="447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</row>
    <row r="448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</row>
    <row r="449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</row>
    <row r="450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</row>
    <row r="45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</row>
    <row r="452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</row>
    <row r="453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</row>
    <row r="454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</row>
    <row r="45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</row>
    <row r="456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</row>
    <row r="457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</row>
    <row r="458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</row>
    <row r="459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</row>
    <row r="460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</row>
    <row r="46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</row>
    <row r="462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</row>
    <row r="463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</row>
    <row r="464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</row>
    <row r="46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</row>
    <row r="466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</row>
    <row r="467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</row>
    <row r="468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</row>
    <row r="469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</row>
    <row r="470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</row>
    <row r="47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</row>
    <row r="472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</row>
    <row r="473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</row>
    <row r="474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</row>
    <row r="47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</row>
    <row r="476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</row>
    <row r="477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</row>
    <row r="478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</row>
    <row r="479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</row>
    <row r="480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</row>
    <row r="48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</row>
    <row r="482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</row>
    <row r="483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</row>
    <row r="484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</row>
    <row r="48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</row>
    <row r="486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</row>
    <row r="487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</row>
    <row r="488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</row>
    <row r="489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</row>
    <row r="490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</row>
    <row r="49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</row>
    <row r="492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</row>
    <row r="493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</row>
    <row r="494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</row>
    <row r="49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</row>
    <row r="496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</row>
    <row r="497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</row>
    <row r="498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</row>
    <row r="499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</row>
    <row r="500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</row>
    <row r="50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</row>
    <row r="502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</row>
    <row r="503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</row>
    <row r="504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</row>
    <row r="50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</row>
    <row r="506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</row>
    <row r="507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</row>
    <row r="508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</row>
    <row r="509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</row>
    <row r="510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</row>
    <row r="51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</row>
    <row r="512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</row>
    <row r="513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</row>
    <row r="514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</row>
    <row r="51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</row>
    <row r="516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</row>
    <row r="517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</row>
    <row r="518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</row>
    <row r="519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</row>
    <row r="520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</row>
    <row r="52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</row>
    <row r="522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</row>
    <row r="523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</row>
    <row r="524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</row>
    <row r="5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</row>
    <row r="526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</row>
    <row r="527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</row>
    <row r="528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</row>
    <row r="529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</row>
    <row r="530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</row>
    <row r="53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</row>
    <row r="532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</row>
    <row r="533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</row>
    <row r="534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</row>
    <row r="53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</row>
    <row r="536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</row>
    <row r="537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</row>
    <row r="538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</row>
    <row r="539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</row>
    <row r="540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</row>
    <row r="54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</row>
    <row r="542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</row>
    <row r="543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</row>
    <row r="544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</row>
    <row r="54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</row>
    <row r="546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</row>
    <row r="547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</row>
    <row r="548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</row>
    <row r="549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</row>
    <row r="550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</row>
    <row r="55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</row>
    <row r="552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</row>
    <row r="553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</row>
    <row r="554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</row>
    <row r="55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</row>
    <row r="556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</row>
    <row r="557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</row>
    <row r="558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</row>
    <row r="559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</row>
    <row r="560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</row>
    <row r="56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</row>
    <row r="562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</row>
    <row r="563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</row>
    <row r="564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</row>
    <row r="56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</row>
    <row r="566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</row>
    <row r="567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</row>
    <row r="568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</row>
    <row r="569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</row>
    <row r="570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</row>
    <row r="57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</row>
    <row r="572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</row>
    <row r="573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</row>
    <row r="574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</row>
    <row r="57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</row>
    <row r="576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</row>
    <row r="577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</row>
    <row r="578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</row>
    <row r="579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</row>
    <row r="580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</row>
    <row r="58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</row>
    <row r="582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</row>
    <row r="583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</row>
    <row r="584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</row>
    <row r="58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</row>
    <row r="586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</row>
    <row r="587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</row>
    <row r="588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</row>
    <row r="589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</row>
    <row r="590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</row>
    <row r="59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</row>
    <row r="592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</row>
    <row r="593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</row>
    <row r="594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</row>
    <row r="59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</row>
    <row r="596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</row>
    <row r="597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</row>
    <row r="598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</row>
    <row r="599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</row>
    <row r="600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</row>
    <row r="60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</row>
    <row r="602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</row>
    <row r="603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</row>
    <row r="604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</row>
    <row r="60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</row>
    <row r="606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</row>
    <row r="607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</row>
    <row r="608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</row>
    <row r="609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</row>
    <row r="610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</row>
    <row r="61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</row>
    <row r="612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</row>
    <row r="613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</row>
    <row r="614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</row>
    <row r="61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</row>
    <row r="616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</row>
    <row r="617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</row>
    <row r="618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</row>
    <row r="619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</row>
    <row r="620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</row>
    <row r="62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</row>
    <row r="622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</row>
    <row r="623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</row>
    <row r="624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</row>
    <row r="6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</row>
    <row r="626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</row>
    <row r="627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</row>
    <row r="628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</row>
    <row r="629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</row>
    <row r="630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</row>
    <row r="63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</row>
    <row r="632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</row>
    <row r="633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</row>
    <row r="634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</row>
    <row r="63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</row>
    <row r="636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</row>
    <row r="637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</row>
    <row r="638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</row>
    <row r="639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</row>
    <row r="640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</row>
    <row r="64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</row>
    <row r="642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</row>
    <row r="643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</row>
    <row r="644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</row>
    <row r="64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</row>
    <row r="646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</row>
    <row r="647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</row>
    <row r="648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</row>
    <row r="649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</row>
    <row r="650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</row>
    <row r="65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</row>
    <row r="652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</row>
    <row r="653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</row>
    <row r="654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</row>
    <row r="65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</row>
    <row r="656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</row>
    <row r="657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</row>
    <row r="658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</row>
    <row r="659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</row>
    <row r="660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</row>
    <row r="66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</row>
    <row r="662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</row>
    <row r="663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</row>
    <row r="664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</row>
    <row r="66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</row>
    <row r="666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</row>
    <row r="667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</row>
    <row r="668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</row>
    <row r="669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</row>
    <row r="670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</row>
    <row r="67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</row>
    <row r="672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</row>
    <row r="673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</row>
    <row r="674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</row>
    <row r="67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</row>
    <row r="676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</row>
    <row r="677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</row>
    <row r="678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</row>
    <row r="679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</row>
    <row r="680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</row>
    <row r="68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</row>
    <row r="682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</row>
    <row r="683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</row>
    <row r="684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</row>
    <row r="68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</row>
    <row r="686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</row>
    <row r="687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</row>
    <row r="688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</row>
    <row r="689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</row>
    <row r="690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</row>
    <row r="69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</row>
    <row r="692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</row>
    <row r="693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</row>
    <row r="694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</row>
    <row r="69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</row>
    <row r="696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</row>
    <row r="697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</row>
    <row r="698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</row>
    <row r="699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</row>
    <row r="700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</row>
    <row r="70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</row>
    <row r="702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</row>
    <row r="703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</row>
    <row r="704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</row>
    <row r="70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</row>
    <row r="706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</row>
    <row r="707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</row>
    <row r="708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</row>
    <row r="709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</row>
    <row r="710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</row>
    <row r="71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</row>
    <row r="712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</row>
    <row r="713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</row>
    <row r="714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</row>
    <row r="71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</row>
    <row r="716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</row>
    <row r="717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</row>
    <row r="718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</row>
    <row r="719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</row>
    <row r="720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</row>
    <row r="72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</row>
    <row r="722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  <c r="AD722" s="43"/>
    </row>
    <row r="723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  <c r="AD723" s="43"/>
    </row>
    <row r="724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  <c r="AD724" s="43"/>
    </row>
    <row r="7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</row>
    <row r="726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</row>
    <row r="727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</row>
    <row r="728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</row>
    <row r="729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</row>
    <row r="730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</row>
    <row r="73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</row>
    <row r="732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</row>
    <row r="733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</row>
    <row r="734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</row>
    <row r="73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</row>
    <row r="736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</row>
    <row r="737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</row>
    <row r="738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</row>
    <row r="739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</row>
    <row r="740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</row>
    <row r="74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</row>
    <row r="742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</row>
    <row r="743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</row>
    <row r="744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</row>
    <row r="74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</row>
    <row r="746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</row>
    <row r="747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</row>
    <row r="748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</row>
    <row r="749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</row>
    <row r="750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  <c r="AD750" s="43"/>
    </row>
    <row r="75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</row>
    <row r="75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</row>
    <row r="753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</row>
    <row r="754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</row>
    <row r="75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</row>
    <row r="756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</row>
    <row r="757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</row>
    <row r="758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</row>
    <row r="759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</row>
    <row r="760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</row>
    <row r="76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</row>
    <row r="76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</row>
    <row r="763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</row>
    <row r="764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</row>
    <row r="76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</row>
    <row r="766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</row>
    <row r="767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</row>
    <row r="768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</row>
    <row r="769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</row>
    <row r="770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</row>
    <row r="77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</row>
    <row r="77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</row>
    <row r="773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</row>
    <row r="774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</row>
    <row r="77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</row>
    <row r="776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</row>
    <row r="777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</row>
    <row r="778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</row>
    <row r="779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</row>
    <row r="780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</row>
    <row r="78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</row>
    <row r="78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</row>
    <row r="783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</row>
    <row r="784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</row>
    <row r="78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</row>
    <row r="786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</row>
    <row r="787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</row>
    <row r="788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</row>
    <row r="789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</row>
    <row r="790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</row>
    <row r="79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</row>
    <row r="79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</row>
    <row r="793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</row>
    <row r="794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</row>
    <row r="79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</row>
    <row r="796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</row>
    <row r="797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</row>
    <row r="798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</row>
    <row r="799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</row>
    <row r="800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</row>
    <row r="80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</row>
    <row r="80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</row>
    <row r="803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</row>
    <row r="804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</row>
    <row r="80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</row>
    <row r="806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</row>
    <row r="807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  <c r="AD807" s="43"/>
    </row>
    <row r="808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  <c r="AD808" s="43"/>
    </row>
    <row r="809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  <c r="AD809" s="43"/>
    </row>
    <row r="810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  <c r="AD810" s="43"/>
    </row>
    <row r="81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  <c r="AD811" s="43"/>
    </row>
    <row r="81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  <c r="AD812" s="43"/>
    </row>
    <row r="813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  <c r="AD813" s="43"/>
    </row>
    <row r="814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  <c r="AD814" s="43"/>
    </row>
    <row r="81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  <c r="AD815" s="43"/>
    </row>
    <row r="816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</row>
    <row r="817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  <c r="AD817" s="43"/>
    </row>
    <row r="818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  <c r="AD818" s="43"/>
    </row>
    <row r="819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  <c r="AD819" s="43"/>
    </row>
    <row r="820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  <c r="AD820" s="43"/>
    </row>
    <row r="82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  <c r="AD821" s="43"/>
    </row>
    <row r="82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</row>
    <row r="823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  <c r="AD823" s="43"/>
    </row>
    <row r="824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</row>
    <row r="8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</row>
    <row r="826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</row>
    <row r="827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  <c r="AD827" s="43"/>
    </row>
    <row r="828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  <c r="AD828" s="43"/>
    </row>
    <row r="829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  <c r="AD829" s="43"/>
    </row>
    <row r="830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  <c r="AD830" s="43"/>
    </row>
    <row r="83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</row>
    <row r="83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</row>
    <row r="833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</row>
    <row r="834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  <c r="AD834" s="43"/>
    </row>
    <row r="83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</row>
    <row r="836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</row>
    <row r="837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</row>
    <row r="838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  <c r="AD838" s="43"/>
    </row>
    <row r="839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  <c r="AD839" s="43"/>
    </row>
    <row r="840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  <c r="AD840" s="43"/>
    </row>
    <row r="84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  <c r="AD841" s="43"/>
    </row>
    <row r="84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  <c r="AD842" s="43"/>
    </row>
    <row r="843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  <c r="AD843" s="43"/>
    </row>
    <row r="844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  <c r="AD844" s="43"/>
    </row>
    <row r="84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</row>
    <row r="846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</row>
    <row r="847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  <c r="AD847" s="43"/>
    </row>
    <row r="848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  <c r="AD848" s="43"/>
    </row>
    <row r="849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</row>
    <row r="850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</row>
    <row r="85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</row>
    <row r="85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</row>
    <row r="853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  <c r="AD853" s="43"/>
    </row>
    <row r="854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  <c r="AD854" s="43"/>
    </row>
    <row r="85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  <c r="AD855" s="43"/>
    </row>
    <row r="856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  <c r="AD856" s="43"/>
    </row>
    <row r="857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</row>
    <row r="858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  <c r="AD858" s="43"/>
    </row>
    <row r="859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</row>
    <row r="860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</row>
    <row r="86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</row>
    <row r="86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</row>
    <row r="863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</row>
    <row r="864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  <c r="AD864" s="43"/>
    </row>
    <row r="86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  <c r="AD865" s="43"/>
    </row>
    <row r="866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</row>
    <row r="867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  <c r="AD867" s="43"/>
    </row>
    <row r="868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  <c r="AD868" s="43"/>
    </row>
    <row r="869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  <c r="AD869" s="43"/>
    </row>
    <row r="870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  <c r="AD870" s="43"/>
    </row>
    <row r="87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</row>
    <row r="87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  <c r="AD872" s="43"/>
    </row>
    <row r="873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  <c r="AD873" s="43"/>
    </row>
    <row r="874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  <c r="AD874" s="43"/>
    </row>
    <row r="87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  <c r="AD875" s="43"/>
    </row>
    <row r="876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  <c r="AD876" s="43"/>
    </row>
    <row r="877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  <c r="AD877" s="43"/>
    </row>
    <row r="878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  <c r="AD878" s="43"/>
    </row>
    <row r="879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  <c r="AD879" s="43"/>
    </row>
    <row r="880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</row>
    <row r="88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  <c r="AD881" s="43"/>
    </row>
    <row r="88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  <c r="AD882" s="43"/>
    </row>
    <row r="883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  <c r="AD883" s="43"/>
    </row>
    <row r="884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</row>
    <row r="88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  <c r="AD885" s="43"/>
    </row>
    <row r="886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  <c r="AD886" s="43"/>
    </row>
    <row r="887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</row>
    <row r="888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</row>
    <row r="889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  <c r="AD889" s="43"/>
    </row>
    <row r="890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  <c r="AD890" s="43"/>
    </row>
    <row r="89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  <c r="AD891" s="43"/>
    </row>
    <row r="89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  <c r="AD892" s="43"/>
    </row>
    <row r="893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  <c r="AD893" s="43"/>
    </row>
    <row r="894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  <c r="AD894" s="43"/>
    </row>
    <row r="89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  <c r="AD895" s="43"/>
    </row>
    <row r="896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  <c r="AD896" s="43"/>
    </row>
    <row r="897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  <c r="AD897" s="43"/>
    </row>
    <row r="898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  <c r="AD898" s="43"/>
    </row>
    <row r="899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  <c r="AD899" s="43"/>
    </row>
    <row r="900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  <c r="AD900" s="43"/>
    </row>
    <row r="90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  <c r="AD901" s="43"/>
    </row>
    <row r="90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</row>
    <row r="903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  <c r="AD903" s="43"/>
    </row>
    <row r="904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  <c r="AD904" s="43"/>
    </row>
    <row r="90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  <c r="AD905" s="43"/>
    </row>
    <row r="906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</row>
    <row r="907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  <c r="AD907" s="43"/>
    </row>
    <row r="908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  <c r="AD908" s="43"/>
    </row>
    <row r="909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  <c r="AD909" s="43"/>
    </row>
    <row r="910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  <c r="AD910" s="43"/>
    </row>
    <row r="91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  <c r="AD911" s="43"/>
    </row>
    <row r="91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  <c r="AD912" s="43"/>
    </row>
    <row r="913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  <c r="AD913" s="43"/>
    </row>
    <row r="914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  <c r="AD914" s="43"/>
    </row>
    <row r="91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  <c r="AD915" s="43"/>
    </row>
    <row r="916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  <c r="AD916" s="43"/>
    </row>
    <row r="917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</row>
    <row r="918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  <c r="AD918" s="43"/>
    </row>
    <row r="919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  <c r="AD919" s="43"/>
    </row>
    <row r="920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  <c r="AD920" s="43"/>
    </row>
    <row r="92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  <c r="AD921" s="43"/>
    </row>
    <row r="92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  <c r="AD922" s="43"/>
    </row>
    <row r="923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  <c r="AD923" s="43"/>
    </row>
    <row r="924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  <c r="AD924" s="43"/>
    </row>
    <row r="92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  <c r="AD925" s="43"/>
    </row>
    <row r="926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</row>
    <row r="927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  <c r="AD927" s="43"/>
    </row>
    <row r="928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  <c r="AD928" s="43"/>
    </row>
    <row r="929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  <c r="AD929" s="43"/>
    </row>
    <row r="930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  <c r="AD930" s="43"/>
    </row>
    <row r="93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  <c r="AD931" s="43"/>
    </row>
    <row r="93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  <c r="AD932" s="43"/>
    </row>
    <row r="933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  <c r="AD933" s="43"/>
    </row>
    <row r="934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  <c r="AD934" s="43"/>
    </row>
    <row r="93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  <c r="AD935" s="43"/>
    </row>
    <row r="936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  <c r="AD936" s="43"/>
    </row>
    <row r="937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  <c r="AD937" s="43"/>
    </row>
    <row r="938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  <c r="AD938" s="43"/>
    </row>
    <row r="939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  <c r="AD939" s="43"/>
    </row>
    <row r="940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  <c r="AD940" s="43"/>
    </row>
    <row r="94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  <c r="AD941" s="43"/>
    </row>
    <row r="94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  <c r="AD942" s="43"/>
    </row>
    <row r="943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  <c r="AD943" s="43"/>
    </row>
    <row r="944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  <c r="AD944" s="43"/>
    </row>
    <row r="94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  <c r="AD945" s="43"/>
    </row>
    <row r="946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  <c r="AD946" s="43"/>
    </row>
    <row r="947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  <c r="AD947" s="43"/>
    </row>
    <row r="948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  <c r="AD948" s="43"/>
    </row>
    <row r="949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  <c r="AD949" s="43"/>
    </row>
    <row r="950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  <c r="AD950" s="43"/>
    </row>
    <row r="95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  <c r="AD951" s="43"/>
    </row>
    <row r="95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  <c r="AD952" s="43"/>
    </row>
    <row r="953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  <c r="AD953" s="43"/>
    </row>
    <row r="954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  <c r="AD954" s="43"/>
    </row>
    <row r="95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  <c r="AD955" s="43"/>
    </row>
    <row r="956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  <c r="AD956" s="43"/>
    </row>
    <row r="957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  <c r="AD957" s="43"/>
    </row>
    <row r="958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  <c r="AD958" s="43"/>
    </row>
    <row r="959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  <c r="AD959" s="43"/>
    </row>
    <row r="960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  <c r="AD960" s="43"/>
    </row>
    <row r="96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  <c r="AD961" s="43"/>
    </row>
    <row r="96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  <c r="AD962" s="43"/>
    </row>
    <row r="963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  <c r="AD963" s="43"/>
    </row>
    <row r="964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  <c r="AD964" s="43"/>
    </row>
    <row r="96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  <c r="AD965" s="43"/>
    </row>
    <row r="966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  <c r="AD966" s="43"/>
    </row>
    <row r="967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  <c r="AD967" s="43"/>
    </row>
    <row r="968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  <c r="AD968" s="43"/>
    </row>
    <row r="969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  <c r="AD969" s="43"/>
    </row>
    <row r="970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  <c r="AD970" s="43"/>
    </row>
    <row r="97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  <c r="AD971" s="43"/>
    </row>
    <row r="97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  <c r="AD972" s="43"/>
    </row>
    <row r="973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  <c r="AD973" s="43"/>
    </row>
    <row r="974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  <c r="AD974" s="43"/>
    </row>
    <row r="97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  <c r="AD975" s="43"/>
    </row>
    <row r="976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  <c r="AD976" s="43"/>
    </row>
    <row r="977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  <c r="AD977" s="43"/>
    </row>
    <row r="978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  <c r="AD978" s="43"/>
    </row>
    <row r="979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  <c r="AD979" s="43"/>
    </row>
    <row r="980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  <c r="AD980" s="43"/>
    </row>
    <row r="98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  <c r="AD981" s="43"/>
    </row>
    <row r="98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  <c r="AC982" s="43"/>
      <c r="AD982" s="43"/>
    </row>
    <row r="983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  <c r="AC983" s="43"/>
      <c r="AD983" s="43"/>
    </row>
    <row r="984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  <c r="AC984" s="43"/>
      <c r="AD984" s="43"/>
    </row>
    <row r="98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  <c r="AC985" s="43"/>
      <c r="AD985" s="43"/>
    </row>
    <row r="986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  <c r="AC986" s="43"/>
      <c r="AD986" s="43"/>
    </row>
    <row r="987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  <c r="AC987" s="43"/>
      <c r="AD987" s="43"/>
    </row>
    <row r="988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  <c r="AC988" s="43"/>
      <c r="AD988" s="43"/>
    </row>
    <row r="989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  <c r="AC989" s="43"/>
      <c r="AD989" s="43"/>
    </row>
    <row r="990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  <c r="AC990" s="43"/>
      <c r="AD990" s="43"/>
    </row>
    <row r="99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  <c r="AC991" s="43"/>
      <c r="AD991" s="43"/>
    </row>
    <row r="99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  <c r="AC992" s="43"/>
      <c r="AD992" s="43"/>
    </row>
    <row r="993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  <c r="AC993" s="43"/>
      <c r="AD993" s="43"/>
    </row>
    <row r="994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  <c r="AC994" s="43"/>
      <c r="AD994" s="43"/>
    </row>
    <row r="995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  <c r="AC995" s="43"/>
      <c r="AD995" s="43"/>
    </row>
    <row r="996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  <c r="AC996" s="43"/>
      <c r="AD996" s="43"/>
    </row>
    <row r="997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  <c r="AB997" s="43"/>
      <c r="AC997" s="43"/>
      <c r="AD997" s="43"/>
    </row>
    <row r="998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  <c r="AB998" s="43"/>
      <c r="AC998" s="43"/>
      <c r="AD998" s="43"/>
    </row>
    <row r="999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  <c r="AB999" s="43"/>
      <c r="AC999" s="43"/>
      <c r="AD999" s="43"/>
    </row>
    <row r="1000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  <c r="AB1000" s="43"/>
      <c r="AC1000" s="43"/>
      <c r="AD1000" s="43"/>
    </row>
    <row r="1001">
      <c r="A1001" s="43"/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  <c r="AA1001" s="43"/>
      <c r="AB1001" s="43"/>
      <c r="AC1001" s="43"/>
      <c r="AD1001" s="43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4.75"/>
  </cols>
  <sheetData>
    <row r="1" ht="72.0" customHeight="1">
      <c r="A1" s="2"/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4" t="s">
        <v>7</v>
      </c>
      <c r="I1" s="2" t="s">
        <v>8</v>
      </c>
      <c r="J1" s="4" t="s">
        <v>9</v>
      </c>
      <c r="K1" s="5" t="s">
        <v>10</v>
      </c>
      <c r="L1" s="3" t="s">
        <v>11</v>
      </c>
      <c r="M1" s="6" t="s">
        <v>12</v>
      </c>
      <c r="N1" s="39" t="s">
        <v>13</v>
      </c>
      <c r="O1" s="40" t="s">
        <v>14</v>
      </c>
      <c r="P1" s="6" t="s">
        <v>15</v>
      </c>
      <c r="Q1" s="8" t="s">
        <v>16</v>
      </c>
      <c r="R1" s="8" t="s">
        <v>17</v>
      </c>
      <c r="S1" s="7" t="s">
        <v>18</v>
      </c>
      <c r="T1" s="9" t="s">
        <v>19</v>
      </c>
      <c r="U1" s="10" t="s">
        <v>20</v>
      </c>
      <c r="V1" s="7" t="s">
        <v>21</v>
      </c>
      <c r="W1" s="7" t="s">
        <v>22</v>
      </c>
      <c r="X1" s="7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43"/>
    </row>
    <row r="2">
      <c r="A2" s="42" t="s">
        <v>142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4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</row>
    <row r="3">
      <c r="A3" s="42" t="s">
        <v>30</v>
      </c>
      <c r="B3" s="62"/>
      <c r="C3" s="62"/>
      <c r="D3" s="63">
        <f>'Quarterly Revenue&amp;EBITDA'!D118/'Quarterly Revenue&amp;EBITDA'!D3</f>
        <v>-10.36980306</v>
      </c>
      <c r="E3" s="62"/>
      <c r="F3" s="62"/>
      <c r="G3" s="62"/>
      <c r="H3" s="62"/>
      <c r="I3" s="62"/>
      <c r="J3" s="62"/>
      <c r="K3" s="62"/>
      <c r="L3" s="62"/>
      <c r="M3" s="62"/>
      <c r="N3" s="62"/>
      <c r="O3" s="64"/>
      <c r="P3" s="62"/>
      <c r="Q3" s="62"/>
      <c r="R3" s="63"/>
      <c r="S3" s="63"/>
      <c r="T3" s="62"/>
      <c r="U3" s="62"/>
      <c r="V3" s="63"/>
      <c r="W3" s="63">
        <f>'Quarterly Revenue&amp;EBITDA'!W118/'Quarterly Revenue&amp;EBITDA'!W3</f>
        <v>-2.0157209</v>
      </c>
      <c r="X3" s="63">
        <f>'Quarterly Revenue&amp;EBITDA'!X118/'Quarterly Revenue&amp;EBITDA'!X3</f>
        <v>0.01880105581</v>
      </c>
      <c r="Y3" s="43"/>
      <c r="Z3" s="43"/>
      <c r="AA3" s="43"/>
      <c r="AB3" s="43"/>
      <c r="AC3" s="43"/>
      <c r="AD3" s="43"/>
    </row>
    <row r="4">
      <c r="A4" s="42" t="s">
        <v>31</v>
      </c>
      <c r="B4" s="62"/>
      <c r="C4" s="62"/>
      <c r="D4" s="63">
        <f>'Quarterly Revenue&amp;EBITDA'!D119/'Quarterly Revenue&amp;EBITDA'!D4</f>
        <v>-10.36980306</v>
      </c>
      <c r="E4" s="62"/>
      <c r="F4" s="62"/>
      <c r="G4" s="62"/>
      <c r="H4" s="62"/>
      <c r="I4" s="62"/>
      <c r="J4" s="62"/>
      <c r="K4" s="62"/>
      <c r="L4" s="62"/>
      <c r="M4" s="62"/>
      <c r="N4" s="62"/>
      <c r="O4" s="64"/>
      <c r="P4" s="62"/>
      <c r="Q4" s="62"/>
      <c r="R4" s="63"/>
      <c r="S4" s="63"/>
      <c r="T4" s="62"/>
      <c r="U4" s="62"/>
      <c r="V4" s="63"/>
      <c r="W4" s="63">
        <f>'Quarterly Revenue&amp;EBITDA'!W119/'Quarterly Revenue&amp;EBITDA'!W4</f>
        <v>-2.0157209</v>
      </c>
      <c r="X4" s="63">
        <f>'Quarterly Revenue&amp;EBITDA'!X119/'Quarterly Revenue&amp;EBITDA'!X4</f>
        <v>0.01880105581</v>
      </c>
      <c r="Y4" s="43"/>
      <c r="Z4" s="43"/>
      <c r="AA4" s="43"/>
      <c r="AB4" s="43"/>
      <c r="AC4" s="43"/>
      <c r="AD4" s="43"/>
    </row>
    <row r="5">
      <c r="A5" s="42" t="s">
        <v>32</v>
      </c>
      <c r="B5" s="62"/>
      <c r="C5" s="62"/>
      <c r="D5" s="63">
        <f>'Quarterly Revenue&amp;EBITDA'!D120/'Quarterly Revenue&amp;EBITDA'!D5</f>
        <v>-10.36980306</v>
      </c>
      <c r="E5" s="62"/>
      <c r="F5" s="62"/>
      <c r="G5" s="62"/>
      <c r="H5" s="62"/>
      <c r="I5" s="62"/>
      <c r="J5" s="62"/>
      <c r="K5" s="62"/>
      <c r="L5" s="62"/>
      <c r="M5" s="62"/>
      <c r="N5" s="62"/>
      <c r="O5" s="64"/>
      <c r="P5" s="62"/>
      <c r="Q5" s="62"/>
      <c r="R5" s="63"/>
      <c r="S5" s="63"/>
      <c r="T5" s="62"/>
      <c r="U5" s="62"/>
      <c r="V5" s="63"/>
      <c r="W5" s="63">
        <f>'Quarterly Revenue&amp;EBITDA'!W120/'Quarterly Revenue&amp;EBITDA'!W5</f>
        <v>-2.0157209</v>
      </c>
      <c r="X5" s="63">
        <f>'Quarterly Revenue&amp;EBITDA'!X120/'Quarterly Revenue&amp;EBITDA'!X5</f>
        <v>0.02201179033</v>
      </c>
      <c r="Y5" s="43"/>
      <c r="Z5" s="43"/>
      <c r="AA5" s="43"/>
      <c r="AB5" s="43"/>
      <c r="AC5" s="43"/>
      <c r="AD5" s="43"/>
    </row>
    <row r="6">
      <c r="A6" s="42" t="s">
        <v>33</v>
      </c>
      <c r="B6" s="62"/>
      <c r="C6" s="62"/>
      <c r="D6" s="63">
        <f>'Quarterly Revenue&amp;EBITDA'!D121/'Quarterly Revenue&amp;EBITDA'!D6</f>
        <v>-10.36980306</v>
      </c>
      <c r="E6" s="62"/>
      <c r="F6" s="62"/>
      <c r="G6" s="62"/>
      <c r="H6" s="62"/>
      <c r="I6" s="62"/>
      <c r="J6" s="62"/>
      <c r="K6" s="62"/>
      <c r="L6" s="62"/>
      <c r="M6" s="62"/>
      <c r="N6" s="62"/>
      <c r="O6" s="64"/>
      <c r="P6" s="62"/>
      <c r="Q6" s="62"/>
      <c r="R6" s="63"/>
      <c r="S6" s="63"/>
      <c r="T6" s="62"/>
      <c r="U6" s="62"/>
      <c r="V6" s="63"/>
      <c r="W6" s="63">
        <f>'Quarterly Revenue&amp;EBITDA'!W121/'Quarterly Revenue&amp;EBITDA'!W6</f>
        <v>-2.0157209</v>
      </c>
      <c r="X6" s="63">
        <f>'Quarterly Revenue&amp;EBITDA'!X121/'Quarterly Revenue&amp;EBITDA'!X6</f>
        <v>0.02201179033</v>
      </c>
      <c r="Y6" s="43"/>
      <c r="Z6" s="43"/>
      <c r="AA6" s="43"/>
      <c r="AB6" s="43"/>
      <c r="AC6" s="43"/>
      <c r="AD6" s="43"/>
    </row>
    <row r="7">
      <c r="A7" s="42" t="s">
        <v>34</v>
      </c>
      <c r="B7" s="62"/>
      <c r="C7" s="63">
        <f>'Quarterly Revenue&amp;EBITDA'!C122/'Quarterly Revenue&amp;EBITDA'!C7</f>
        <v>-1.502738599</v>
      </c>
      <c r="D7" s="63">
        <f>'Quarterly Revenue&amp;EBITDA'!D122/'Quarterly Revenue&amp;EBITDA'!D7</f>
        <v>-2.077674116</v>
      </c>
      <c r="E7" s="62"/>
      <c r="F7" s="62"/>
      <c r="G7" s="62"/>
      <c r="H7" s="62"/>
      <c r="I7" s="62"/>
      <c r="J7" s="62"/>
      <c r="K7" s="62"/>
      <c r="L7" s="62"/>
      <c r="M7" s="62"/>
      <c r="N7" s="62"/>
      <c r="O7" s="64"/>
      <c r="P7" s="62"/>
      <c r="Q7" s="62"/>
      <c r="R7" s="63"/>
      <c r="S7" s="63"/>
      <c r="T7" s="62"/>
      <c r="U7" s="62"/>
      <c r="V7" s="63"/>
      <c r="W7" s="63">
        <f>'Quarterly Revenue&amp;EBITDA'!W122/'Quarterly Revenue&amp;EBITDA'!W7</f>
        <v>-1.001977587</v>
      </c>
      <c r="X7" s="63">
        <f>'Quarterly Revenue&amp;EBITDA'!X122/'Quarterly Revenue&amp;EBITDA'!X7</f>
        <v>0.02201179033</v>
      </c>
      <c r="Y7" s="43"/>
      <c r="Z7" s="43"/>
      <c r="AA7" s="43"/>
      <c r="AB7" s="43"/>
      <c r="AC7" s="43"/>
      <c r="AD7" s="43"/>
    </row>
    <row r="8">
      <c r="A8" s="42" t="s">
        <v>35</v>
      </c>
      <c r="B8" s="62"/>
      <c r="C8" s="63">
        <f>'Quarterly Revenue&amp;EBITDA'!C123/'Quarterly Revenue&amp;EBITDA'!C8</f>
        <v>-1.502738599</v>
      </c>
      <c r="D8" s="63">
        <f>'Quarterly Revenue&amp;EBITDA'!D123/'Quarterly Revenue&amp;EBITDA'!D8</f>
        <v>-2.077674116</v>
      </c>
      <c r="E8" s="62"/>
      <c r="F8" s="62"/>
      <c r="G8" s="62"/>
      <c r="H8" s="62"/>
      <c r="I8" s="62"/>
      <c r="J8" s="62"/>
      <c r="K8" s="62"/>
      <c r="L8" s="62"/>
      <c r="M8" s="62"/>
      <c r="N8" s="62"/>
      <c r="O8" s="64"/>
      <c r="P8" s="62"/>
      <c r="Q8" s="62"/>
      <c r="R8" s="63"/>
      <c r="S8" s="63"/>
      <c r="T8" s="62"/>
      <c r="U8" s="62"/>
      <c r="V8" s="63"/>
      <c r="W8" s="63">
        <f>'Quarterly Revenue&amp;EBITDA'!W123/'Quarterly Revenue&amp;EBITDA'!W8</f>
        <v>-1.001977587</v>
      </c>
      <c r="X8" s="63">
        <f>'Quarterly Revenue&amp;EBITDA'!X123/'Quarterly Revenue&amp;EBITDA'!X8</f>
        <v>0.02201179033</v>
      </c>
      <c r="Y8" s="43"/>
      <c r="Z8" s="43"/>
      <c r="AA8" s="43"/>
      <c r="AB8" s="43"/>
      <c r="AC8" s="43"/>
      <c r="AD8" s="43"/>
    </row>
    <row r="9">
      <c r="A9" s="42" t="s">
        <v>36</v>
      </c>
      <c r="B9" s="62"/>
      <c r="C9" s="63">
        <f>'Quarterly Revenue&amp;EBITDA'!C124/'Quarterly Revenue&amp;EBITDA'!C9</f>
        <v>-1.502738599</v>
      </c>
      <c r="D9" s="63">
        <f>'Quarterly Revenue&amp;EBITDA'!D124/'Quarterly Revenue&amp;EBITDA'!D9</f>
        <v>-2.077674116</v>
      </c>
      <c r="E9" s="62"/>
      <c r="F9" s="62"/>
      <c r="G9" s="62"/>
      <c r="H9" s="62"/>
      <c r="I9" s="62"/>
      <c r="J9" s="62"/>
      <c r="K9" s="62"/>
      <c r="L9" s="62"/>
      <c r="M9" s="62"/>
      <c r="N9" s="62"/>
      <c r="O9" s="64"/>
      <c r="P9" s="62"/>
      <c r="Q9" s="62"/>
      <c r="R9" s="63"/>
      <c r="S9" s="63"/>
      <c r="T9" s="62"/>
      <c r="U9" s="62"/>
      <c r="V9" s="63"/>
      <c r="W9" s="63">
        <f>'Quarterly Revenue&amp;EBITDA'!W124/'Quarterly Revenue&amp;EBITDA'!W9</f>
        <v>-1.001977587</v>
      </c>
      <c r="X9" s="63">
        <f>'Quarterly Revenue&amp;EBITDA'!X124/'Quarterly Revenue&amp;EBITDA'!X9</f>
        <v>0.01722575843</v>
      </c>
      <c r="Y9" s="43"/>
      <c r="Z9" s="43"/>
      <c r="AA9" s="43"/>
      <c r="AB9" s="43"/>
      <c r="AC9" s="43"/>
      <c r="AD9" s="43"/>
    </row>
    <row r="10">
      <c r="A10" s="42" t="s">
        <v>37</v>
      </c>
      <c r="B10" s="62"/>
      <c r="C10" s="63">
        <f>'Quarterly Revenue&amp;EBITDA'!C125/'Quarterly Revenue&amp;EBITDA'!C10</f>
        <v>-1.502738599</v>
      </c>
      <c r="D10" s="63">
        <f>'Quarterly Revenue&amp;EBITDA'!D125/'Quarterly Revenue&amp;EBITDA'!D10</f>
        <v>-2.077674116</v>
      </c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4"/>
      <c r="P10" s="62"/>
      <c r="Q10" s="62"/>
      <c r="R10" s="63"/>
      <c r="S10" s="63"/>
      <c r="T10" s="62"/>
      <c r="U10" s="62"/>
      <c r="V10" s="63"/>
      <c r="W10" s="63">
        <f>'Quarterly Revenue&amp;EBITDA'!W125/'Quarterly Revenue&amp;EBITDA'!W10</f>
        <v>-1.001977587</v>
      </c>
      <c r="X10" s="63">
        <f>'Quarterly Revenue&amp;EBITDA'!X125/'Quarterly Revenue&amp;EBITDA'!X10</f>
        <v>0.01722575843</v>
      </c>
      <c r="Y10" s="43"/>
      <c r="Z10" s="43"/>
      <c r="AA10" s="43"/>
      <c r="AB10" s="43"/>
      <c r="AC10" s="43"/>
      <c r="AD10" s="43"/>
    </row>
    <row r="11">
      <c r="A11" s="42" t="s">
        <v>38</v>
      </c>
      <c r="B11" s="62"/>
      <c r="C11" s="63">
        <f>'Quarterly Revenue&amp;EBITDA'!C126/'Quarterly Revenue&amp;EBITDA'!C11</f>
        <v>-0.1203146701</v>
      </c>
      <c r="D11" s="63">
        <f>'Quarterly Revenue&amp;EBITDA'!D126/'Quarterly Revenue&amp;EBITDA'!D11</f>
        <v>-0.4864208377</v>
      </c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4"/>
      <c r="P11" s="62"/>
      <c r="Q11" s="62"/>
      <c r="R11" s="63"/>
      <c r="S11" s="63">
        <f>'Quarterly Revenue&amp;EBITDA'!S126/'Quarterly Revenue&amp;EBITDA'!S11</f>
        <v>-34.15897436</v>
      </c>
      <c r="T11" s="62"/>
      <c r="U11" s="62"/>
      <c r="V11" s="63"/>
      <c r="W11" s="63">
        <f>'Quarterly Revenue&amp;EBITDA'!W126/'Quarterly Revenue&amp;EBITDA'!W11</f>
        <v>-0.3214202253</v>
      </c>
      <c r="X11" s="63">
        <f>'Quarterly Revenue&amp;EBITDA'!X126/'Quarterly Revenue&amp;EBITDA'!X11</f>
        <v>0.01722575843</v>
      </c>
      <c r="Y11" s="43"/>
      <c r="Z11" s="43"/>
      <c r="AA11" s="43"/>
      <c r="AB11" s="43"/>
      <c r="AC11" s="43"/>
      <c r="AD11" s="43"/>
    </row>
    <row r="12">
      <c r="A12" s="42" t="s">
        <v>39</v>
      </c>
      <c r="B12" s="62"/>
      <c r="C12" s="63">
        <f>'Quarterly Revenue&amp;EBITDA'!C127/'Quarterly Revenue&amp;EBITDA'!C12</f>
        <v>-0.1203146701</v>
      </c>
      <c r="D12" s="63">
        <f>'Quarterly Revenue&amp;EBITDA'!D127/'Quarterly Revenue&amp;EBITDA'!D12</f>
        <v>-0.4864208377</v>
      </c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4"/>
      <c r="P12" s="62"/>
      <c r="Q12" s="62"/>
      <c r="R12" s="63"/>
      <c r="S12" s="63">
        <f>'Quarterly Revenue&amp;EBITDA'!S127/'Quarterly Revenue&amp;EBITDA'!S12</f>
        <v>-34.15897436</v>
      </c>
      <c r="T12" s="62"/>
      <c r="U12" s="62"/>
      <c r="V12" s="63"/>
      <c r="W12" s="63">
        <f>'Quarterly Revenue&amp;EBITDA'!W127/'Quarterly Revenue&amp;EBITDA'!W12</f>
        <v>-0.3214202253</v>
      </c>
      <c r="X12" s="63">
        <f>'Quarterly Revenue&amp;EBITDA'!X127/'Quarterly Revenue&amp;EBITDA'!X12</f>
        <v>0.01722575843</v>
      </c>
      <c r="Y12" s="43"/>
      <c r="Z12" s="43"/>
      <c r="AA12" s="43"/>
      <c r="AB12" s="43"/>
      <c r="AC12" s="43"/>
      <c r="AD12" s="43"/>
    </row>
    <row r="13">
      <c r="A13" s="42" t="s">
        <v>40</v>
      </c>
      <c r="B13" s="62"/>
      <c r="C13" s="63">
        <f>'Quarterly Revenue&amp;EBITDA'!C128/'Quarterly Revenue&amp;EBITDA'!C13</f>
        <v>-0.1203146701</v>
      </c>
      <c r="D13" s="63">
        <f>'Quarterly Revenue&amp;EBITDA'!D128/'Quarterly Revenue&amp;EBITDA'!D13</f>
        <v>-0.4864208377</v>
      </c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4"/>
      <c r="P13" s="62"/>
      <c r="Q13" s="62"/>
      <c r="R13" s="63"/>
      <c r="S13" s="63">
        <f>'Quarterly Revenue&amp;EBITDA'!S128/'Quarterly Revenue&amp;EBITDA'!S13</f>
        <v>-34.15897436</v>
      </c>
      <c r="T13" s="62"/>
      <c r="U13" s="62"/>
      <c r="V13" s="63"/>
      <c r="W13" s="63">
        <f>'Quarterly Revenue&amp;EBITDA'!W128/'Quarterly Revenue&amp;EBITDA'!W13</f>
        <v>-0.3214202253</v>
      </c>
      <c r="X13" s="63">
        <f>'Quarterly Revenue&amp;EBITDA'!X128/'Quarterly Revenue&amp;EBITDA'!X13</f>
        <v>0.02360059107</v>
      </c>
      <c r="Y13" s="43"/>
      <c r="Z13" s="43"/>
      <c r="AA13" s="43"/>
      <c r="AB13" s="43"/>
      <c r="AC13" s="43"/>
      <c r="AD13" s="43"/>
    </row>
    <row r="14">
      <c r="A14" s="42" t="s">
        <v>41</v>
      </c>
      <c r="B14" s="62"/>
      <c r="C14" s="63">
        <f>'Quarterly Revenue&amp;EBITDA'!C129/'Quarterly Revenue&amp;EBITDA'!C14</f>
        <v>-0.1203146701</v>
      </c>
      <c r="D14" s="63">
        <f>'Quarterly Revenue&amp;EBITDA'!D129/'Quarterly Revenue&amp;EBITDA'!D14</f>
        <v>-0.4864208377</v>
      </c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4"/>
      <c r="P14" s="62"/>
      <c r="Q14" s="62"/>
      <c r="R14" s="63"/>
      <c r="S14" s="63">
        <f>'Quarterly Revenue&amp;EBITDA'!S129/'Quarterly Revenue&amp;EBITDA'!S14</f>
        <v>-34.15897436</v>
      </c>
      <c r="T14" s="62"/>
      <c r="U14" s="62"/>
      <c r="V14" s="63"/>
      <c r="W14" s="63">
        <f>'Quarterly Revenue&amp;EBITDA'!W129/'Quarterly Revenue&amp;EBITDA'!W14</f>
        <v>-0.3214202253</v>
      </c>
      <c r="X14" s="63">
        <f>'Quarterly Revenue&amp;EBITDA'!X129/'Quarterly Revenue&amp;EBITDA'!X14</f>
        <v>0.02360059107</v>
      </c>
      <c r="Y14" s="43"/>
      <c r="Z14" s="43"/>
      <c r="AA14" s="43"/>
      <c r="AB14" s="43"/>
      <c r="AC14" s="43"/>
      <c r="AD14" s="43"/>
    </row>
    <row r="15">
      <c r="A15" s="42" t="s">
        <v>42</v>
      </c>
      <c r="B15" s="62"/>
      <c r="C15" s="63">
        <f>'Quarterly Revenue&amp;EBITDA'!C130/'Quarterly Revenue&amp;EBITDA'!C15</f>
        <v>-0.02551813346</v>
      </c>
      <c r="D15" s="63">
        <f>'Quarterly Revenue&amp;EBITDA'!D130/'Quarterly Revenue&amp;EBITDA'!D15</f>
        <v>-1.155551563</v>
      </c>
      <c r="E15" s="63">
        <f>'Quarterly Revenue&amp;EBITDA'!E130/'Quarterly Revenue&amp;EBITDA'!E15</f>
        <v>-4.780769231</v>
      </c>
      <c r="F15" s="62"/>
      <c r="G15" s="62"/>
      <c r="H15" s="62"/>
      <c r="I15" s="62"/>
      <c r="J15" s="62"/>
      <c r="K15" s="62"/>
      <c r="L15" s="62"/>
      <c r="M15" s="62"/>
      <c r="N15" s="62"/>
      <c r="O15" s="64"/>
      <c r="P15" s="62"/>
      <c r="Q15" s="62"/>
      <c r="R15" s="63"/>
      <c r="S15" s="63">
        <f>'Quarterly Revenue&amp;EBITDA'!S130/'Quarterly Revenue&amp;EBITDA'!S15</f>
        <v>-10.19712414</v>
      </c>
      <c r="T15" s="62"/>
      <c r="U15" s="62"/>
      <c r="V15" s="63"/>
      <c r="W15" s="63">
        <f>'Quarterly Revenue&amp;EBITDA'!W130/'Quarterly Revenue&amp;EBITDA'!W15</f>
        <v>-0.5656718742</v>
      </c>
      <c r="X15" s="63">
        <f>'Quarterly Revenue&amp;EBITDA'!X130/'Quarterly Revenue&amp;EBITDA'!X15</f>
        <v>0.02360059107</v>
      </c>
      <c r="Y15" s="43"/>
      <c r="Z15" s="43"/>
      <c r="AA15" s="43"/>
      <c r="AB15" s="43"/>
      <c r="AC15" s="43"/>
      <c r="AD15" s="43"/>
    </row>
    <row r="16">
      <c r="A16" s="42" t="s">
        <v>43</v>
      </c>
      <c r="B16" s="62"/>
      <c r="C16" s="63">
        <f>'Quarterly Revenue&amp;EBITDA'!C131/'Quarterly Revenue&amp;EBITDA'!C16</f>
        <v>-0.02551813346</v>
      </c>
      <c r="D16" s="63">
        <f>'Quarterly Revenue&amp;EBITDA'!D131/'Quarterly Revenue&amp;EBITDA'!D16</f>
        <v>-1.155551563</v>
      </c>
      <c r="E16" s="63">
        <f>'Quarterly Revenue&amp;EBITDA'!E131/'Quarterly Revenue&amp;EBITDA'!E16</f>
        <v>-4.780769231</v>
      </c>
      <c r="F16" s="62"/>
      <c r="G16" s="62"/>
      <c r="H16" s="62"/>
      <c r="I16" s="62"/>
      <c r="J16" s="62"/>
      <c r="K16" s="62"/>
      <c r="L16" s="62"/>
      <c r="M16" s="62"/>
      <c r="N16" s="62"/>
      <c r="O16" s="64"/>
      <c r="P16" s="62"/>
      <c r="Q16" s="62"/>
      <c r="R16" s="63"/>
      <c r="S16" s="63">
        <f>'Quarterly Revenue&amp;EBITDA'!S131/'Quarterly Revenue&amp;EBITDA'!S16</f>
        <v>-10.19712414</v>
      </c>
      <c r="T16" s="62"/>
      <c r="U16" s="62"/>
      <c r="V16" s="63"/>
      <c r="W16" s="63">
        <f>'Quarterly Revenue&amp;EBITDA'!W131/'Quarterly Revenue&amp;EBITDA'!W16</f>
        <v>-0.5656718742</v>
      </c>
      <c r="X16" s="63">
        <f>'Quarterly Revenue&amp;EBITDA'!X131/'Quarterly Revenue&amp;EBITDA'!X16</f>
        <v>0.02360059107</v>
      </c>
      <c r="Y16" s="43"/>
      <c r="Z16" s="43"/>
      <c r="AA16" s="43"/>
      <c r="AB16" s="43"/>
      <c r="AC16" s="43"/>
      <c r="AD16" s="43"/>
    </row>
    <row r="17">
      <c r="A17" s="42" t="s">
        <v>44</v>
      </c>
      <c r="B17" s="62"/>
      <c r="C17" s="63">
        <f>'Quarterly Revenue&amp;EBITDA'!C132/'Quarterly Revenue&amp;EBITDA'!C17</f>
        <v>-0.02551813346</v>
      </c>
      <c r="D17" s="63">
        <f>'Quarterly Revenue&amp;EBITDA'!D132/'Quarterly Revenue&amp;EBITDA'!D17</f>
        <v>-1.155551563</v>
      </c>
      <c r="E17" s="63">
        <f>'Quarterly Revenue&amp;EBITDA'!E132/'Quarterly Revenue&amp;EBITDA'!E17</f>
        <v>-4.780769231</v>
      </c>
      <c r="F17" s="63"/>
      <c r="G17" s="63"/>
      <c r="H17" s="63"/>
      <c r="I17" s="63"/>
      <c r="J17" s="63"/>
      <c r="K17" s="63"/>
      <c r="L17" s="63"/>
      <c r="M17" s="63"/>
      <c r="N17" s="63"/>
      <c r="O17" s="65"/>
      <c r="P17" s="62"/>
      <c r="Q17" s="62"/>
      <c r="R17" s="63"/>
      <c r="S17" s="63">
        <f>'Quarterly Revenue&amp;EBITDA'!S132/'Quarterly Revenue&amp;EBITDA'!S17</f>
        <v>-10.19712414</v>
      </c>
      <c r="T17" s="62"/>
      <c r="U17" s="62"/>
      <c r="V17" s="63"/>
      <c r="W17" s="63">
        <f>'Quarterly Revenue&amp;EBITDA'!W132/'Quarterly Revenue&amp;EBITDA'!W17</f>
        <v>-0.5656718742</v>
      </c>
      <c r="X17" s="63">
        <f>'Quarterly Revenue&amp;EBITDA'!X132/'Quarterly Revenue&amp;EBITDA'!X17</f>
        <v>0.02786764716</v>
      </c>
      <c r="Y17" s="43"/>
      <c r="Z17" s="43"/>
      <c r="AA17" s="43"/>
      <c r="AB17" s="43"/>
      <c r="AC17" s="43"/>
      <c r="AD17" s="43"/>
    </row>
    <row r="18">
      <c r="A18" s="42" t="s">
        <v>45</v>
      </c>
      <c r="B18" s="62"/>
      <c r="C18" s="63">
        <f>'Quarterly Revenue&amp;EBITDA'!C133/'Quarterly Revenue&amp;EBITDA'!C18</f>
        <v>-0.02551813346</v>
      </c>
      <c r="D18" s="63">
        <f>'Quarterly Revenue&amp;EBITDA'!D133/'Quarterly Revenue&amp;EBITDA'!D18</f>
        <v>-1.155551563</v>
      </c>
      <c r="E18" s="63">
        <f>'Quarterly Revenue&amp;EBITDA'!E133/'Quarterly Revenue&amp;EBITDA'!E18</f>
        <v>-4.780769231</v>
      </c>
      <c r="F18" s="62"/>
      <c r="G18" s="62"/>
      <c r="H18" s="62"/>
      <c r="I18" s="62"/>
      <c r="J18" s="62"/>
      <c r="K18" s="62"/>
      <c r="L18" s="62"/>
      <c r="M18" s="62"/>
      <c r="N18" s="62"/>
      <c r="O18" s="65"/>
      <c r="P18" s="62"/>
      <c r="Q18" s="62"/>
      <c r="R18" s="63"/>
      <c r="S18" s="63">
        <f>'Quarterly Revenue&amp;EBITDA'!S133/'Quarterly Revenue&amp;EBITDA'!S18</f>
        <v>-10.19712414</v>
      </c>
      <c r="T18" s="62"/>
      <c r="U18" s="62"/>
      <c r="V18" s="63"/>
      <c r="W18" s="63">
        <f>'Quarterly Revenue&amp;EBITDA'!W133/'Quarterly Revenue&amp;EBITDA'!W18</f>
        <v>-0.5656718742</v>
      </c>
      <c r="X18" s="63">
        <f>'Quarterly Revenue&amp;EBITDA'!X133/'Quarterly Revenue&amp;EBITDA'!X18</f>
        <v>0.02786764716</v>
      </c>
      <c r="Y18" s="43"/>
      <c r="Z18" s="43"/>
      <c r="AA18" s="43"/>
      <c r="AB18" s="43"/>
      <c r="AC18" s="43"/>
      <c r="AD18" s="43"/>
    </row>
    <row r="19">
      <c r="A19" s="42" t="s">
        <v>46</v>
      </c>
      <c r="B19" s="62"/>
      <c r="C19" s="63">
        <f>'Quarterly Revenue&amp;EBITDA'!C134/'Quarterly Revenue&amp;EBITDA'!C19</f>
        <v>0.005760599717</v>
      </c>
      <c r="D19" s="63">
        <f>'Quarterly Revenue&amp;EBITDA'!D134/'Quarterly Revenue&amp;EBITDA'!D19</f>
        <v>-0.05839708397</v>
      </c>
      <c r="E19" s="63">
        <f>'Quarterly Revenue&amp;EBITDA'!E134/'Quarterly Revenue&amp;EBITDA'!E19</f>
        <v>-0.372036131</v>
      </c>
      <c r="F19" s="62"/>
      <c r="G19" s="62"/>
      <c r="H19" s="62"/>
      <c r="I19" s="62"/>
      <c r="J19" s="62"/>
      <c r="K19" s="62"/>
      <c r="L19" s="62"/>
      <c r="M19" s="62"/>
      <c r="N19" s="62"/>
      <c r="O19" s="65">
        <f>'Quarterly Revenue&amp;EBITDA'!O134/'Quarterly Revenue&amp;EBITDA'!O19</f>
        <v>-6.45323741</v>
      </c>
      <c r="P19" s="62"/>
      <c r="Q19" s="62"/>
      <c r="R19" s="63"/>
      <c r="S19" s="63">
        <f>'Quarterly Revenue&amp;EBITDA'!S134/'Quarterly Revenue&amp;EBITDA'!S19</f>
        <v>-1.823914249</v>
      </c>
      <c r="T19" s="62"/>
      <c r="U19" s="62"/>
      <c r="V19" s="63">
        <f>'Quarterly Revenue&amp;EBITDA'!V134/'Quarterly Revenue&amp;EBITDA'!V19</f>
        <v>-2.378568302</v>
      </c>
      <c r="W19" s="63">
        <f>'Quarterly Revenue&amp;EBITDA'!W134/'Quarterly Revenue&amp;EBITDA'!W19</f>
        <v>-0.303678298</v>
      </c>
      <c r="X19" s="63">
        <f>'Quarterly Revenue&amp;EBITDA'!X134/'Quarterly Revenue&amp;EBITDA'!X19</f>
        <v>0.02786764716</v>
      </c>
      <c r="Y19" s="43"/>
      <c r="Z19" s="43"/>
      <c r="AA19" s="43"/>
      <c r="AB19" s="43"/>
      <c r="AC19" s="43"/>
      <c r="AD19" s="43"/>
    </row>
    <row r="20">
      <c r="A20" s="42" t="s">
        <v>47</v>
      </c>
      <c r="B20" s="62"/>
      <c r="C20" s="63">
        <f>'Quarterly Revenue&amp;EBITDA'!C135/'Quarterly Revenue&amp;EBITDA'!C20</f>
        <v>0.005760599717</v>
      </c>
      <c r="D20" s="63">
        <f>'Quarterly Revenue&amp;EBITDA'!D135/'Quarterly Revenue&amp;EBITDA'!D20</f>
        <v>-0.05839708397</v>
      </c>
      <c r="E20" s="63">
        <f>'Quarterly Revenue&amp;EBITDA'!E135/'Quarterly Revenue&amp;EBITDA'!E20</f>
        <v>-0.372036131</v>
      </c>
      <c r="F20" s="62"/>
      <c r="G20" s="62"/>
      <c r="H20" s="62"/>
      <c r="I20" s="62"/>
      <c r="J20" s="62"/>
      <c r="K20" s="62"/>
      <c r="L20" s="62"/>
      <c r="M20" s="62"/>
      <c r="N20" s="62"/>
      <c r="O20" s="65">
        <f>'Quarterly Revenue&amp;EBITDA'!O135/'Quarterly Revenue&amp;EBITDA'!O20</f>
        <v>-6.45323741</v>
      </c>
      <c r="P20" s="62"/>
      <c r="Q20" s="62"/>
      <c r="R20" s="63"/>
      <c r="S20" s="63">
        <f>'Quarterly Revenue&amp;EBITDA'!S135/'Quarterly Revenue&amp;EBITDA'!S20</f>
        <v>-1.823914249</v>
      </c>
      <c r="T20" s="62"/>
      <c r="U20" s="62"/>
      <c r="V20" s="63">
        <f>'Quarterly Revenue&amp;EBITDA'!V135/'Quarterly Revenue&amp;EBITDA'!V20</f>
        <v>-2.378568302</v>
      </c>
      <c r="W20" s="63">
        <f>'Quarterly Revenue&amp;EBITDA'!W135/'Quarterly Revenue&amp;EBITDA'!W20</f>
        <v>-0.303678298</v>
      </c>
      <c r="X20" s="63">
        <f>'Quarterly Revenue&amp;EBITDA'!X135/'Quarterly Revenue&amp;EBITDA'!X20</f>
        <v>0.02786764716</v>
      </c>
      <c r="Y20" s="43"/>
      <c r="Z20" s="43"/>
      <c r="AA20" s="43"/>
      <c r="AB20" s="43"/>
      <c r="AC20" s="43"/>
      <c r="AD20" s="43"/>
    </row>
    <row r="21">
      <c r="A21" s="42" t="s">
        <v>48</v>
      </c>
      <c r="B21" s="62"/>
      <c r="C21" s="63">
        <f>'Quarterly Revenue&amp;EBITDA'!C136/'Quarterly Revenue&amp;EBITDA'!C21</f>
        <v>0.005760599717</v>
      </c>
      <c r="D21" s="63">
        <f>'Quarterly Revenue&amp;EBITDA'!D136/'Quarterly Revenue&amp;EBITDA'!D21</f>
        <v>-0.05839708397</v>
      </c>
      <c r="E21" s="63">
        <f>'Quarterly Revenue&amp;EBITDA'!E136/'Quarterly Revenue&amp;EBITDA'!E21</f>
        <v>-0.372036131</v>
      </c>
      <c r="F21" s="62"/>
      <c r="G21" s="62"/>
      <c r="H21" s="62"/>
      <c r="I21" s="62"/>
      <c r="J21" s="62"/>
      <c r="K21" s="62"/>
      <c r="L21" s="62"/>
      <c r="M21" s="62"/>
      <c r="N21" s="62"/>
      <c r="O21" s="65">
        <f>'Quarterly Revenue&amp;EBITDA'!O136/'Quarterly Revenue&amp;EBITDA'!O21</f>
        <v>-0.7789275635</v>
      </c>
      <c r="P21" s="62"/>
      <c r="Q21" s="62"/>
      <c r="R21" s="63"/>
      <c r="S21" s="63">
        <f>'Quarterly Revenue&amp;EBITDA'!S136/'Quarterly Revenue&amp;EBITDA'!S21</f>
        <v>-1.823914249</v>
      </c>
      <c r="T21" s="62"/>
      <c r="U21" s="62"/>
      <c r="V21" s="63">
        <f>'Quarterly Revenue&amp;EBITDA'!V136/'Quarterly Revenue&amp;EBITDA'!V21</f>
        <v>-2.378568302</v>
      </c>
      <c r="W21" s="63">
        <f>'Quarterly Revenue&amp;EBITDA'!W136/'Quarterly Revenue&amp;EBITDA'!W21</f>
        <v>-0.303678298</v>
      </c>
      <c r="X21" s="63">
        <f>'Quarterly Revenue&amp;EBITDA'!X136/'Quarterly Revenue&amp;EBITDA'!X21</f>
        <v>0.02087821052</v>
      </c>
      <c r="Y21" s="43"/>
      <c r="Z21" s="43"/>
      <c r="AA21" s="43"/>
      <c r="AB21" s="43"/>
      <c r="AC21" s="43"/>
      <c r="AD21" s="43"/>
    </row>
    <row r="22">
      <c r="A22" s="42" t="s">
        <v>49</v>
      </c>
      <c r="B22" s="62"/>
      <c r="C22" s="63">
        <f>'Quarterly Revenue&amp;EBITDA'!C137/'Quarterly Revenue&amp;EBITDA'!C22</f>
        <v>0.005760599717</v>
      </c>
      <c r="D22" s="63">
        <f>'Quarterly Revenue&amp;EBITDA'!D137/'Quarterly Revenue&amp;EBITDA'!D22</f>
        <v>-0.05839708397</v>
      </c>
      <c r="E22" s="63">
        <f>'Quarterly Revenue&amp;EBITDA'!E137/'Quarterly Revenue&amp;EBITDA'!E22</f>
        <v>-0.372036131</v>
      </c>
      <c r="F22" s="62"/>
      <c r="G22" s="62"/>
      <c r="H22" s="62"/>
      <c r="I22" s="62"/>
      <c r="J22" s="62"/>
      <c r="K22" s="62"/>
      <c r="L22" s="62"/>
      <c r="M22" s="62"/>
      <c r="N22" s="62"/>
      <c r="O22" s="65">
        <f>'Quarterly Revenue&amp;EBITDA'!O137/'Quarterly Revenue&amp;EBITDA'!O22</f>
        <v>-0.7789275635</v>
      </c>
      <c r="P22" s="62"/>
      <c r="Q22" s="62"/>
      <c r="R22" s="63"/>
      <c r="S22" s="63">
        <f>'Quarterly Revenue&amp;EBITDA'!S137/'Quarterly Revenue&amp;EBITDA'!S22</f>
        <v>-1.823914249</v>
      </c>
      <c r="T22" s="62"/>
      <c r="U22" s="62"/>
      <c r="V22" s="63">
        <f>'Quarterly Revenue&amp;EBITDA'!V137/'Quarterly Revenue&amp;EBITDA'!V22</f>
        <v>-2.378568302</v>
      </c>
      <c r="W22" s="63">
        <f>'Quarterly Revenue&amp;EBITDA'!W137/'Quarterly Revenue&amp;EBITDA'!W22</f>
        <v>-0.303678298</v>
      </c>
      <c r="X22" s="63">
        <f>'Quarterly Revenue&amp;EBITDA'!X137/'Quarterly Revenue&amp;EBITDA'!X22</f>
        <v>0.02087821052</v>
      </c>
      <c r="Y22" s="43"/>
      <c r="Z22" s="43"/>
      <c r="AA22" s="43"/>
      <c r="AB22" s="43"/>
      <c r="AC22" s="43"/>
      <c r="AD22" s="43"/>
    </row>
    <row r="23">
      <c r="A23" s="42" t="s">
        <v>50</v>
      </c>
      <c r="B23" s="62"/>
      <c r="C23" s="63">
        <f>'Quarterly Revenue&amp;EBITDA'!C138/'Quarterly Revenue&amp;EBITDA'!C23</f>
        <v>0.02257260319</v>
      </c>
      <c r="D23" s="63">
        <f>'Quarterly Revenue&amp;EBITDA'!D138/'Quarterly Revenue&amp;EBITDA'!D23</f>
        <v>0.1717058853</v>
      </c>
      <c r="E23" s="63">
        <f>'Quarterly Revenue&amp;EBITDA'!E138/'Quarterly Revenue&amp;EBITDA'!E23</f>
        <v>0.2718263718</v>
      </c>
      <c r="F23" s="62"/>
      <c r="G23" s="62"/>
      <c r="H23" s="62"/>
      <c r="I23" s="62"/>
      <c r="J23" s="62"/>
      <c r="K23" s="62"/>
      <c r="L23" s="62"/>
      <c r="M23" s="62"/>
      <c r="N23" s="62"/>
      <c r="O23" s="65">
        <f>'Quarterly Revenue&amp;EBITDA'!O138/'Quarterly Revenue&amp;EBITDA'!O23</f>
        <v>-0.7789275635</v>
      </c>
      <c r="P23" s="62"/>
      <c r="Q23" s="62"/>
      <c r="R23" s="63"/>
      <c r="S23" s="63">
        <f>'Quarterly Revenue&amp;EBITDA'!S138/'Quarterly Revenue&amp;EBITDA'!S23</f>
        <v>-0.2099786407</v>
      </c>
      <c r="T23" s="62"/>
      <c r="U23" s="62"/>
      <c r="V23" s="63">
        <f>'Quarterly Revenue&amp;EBITDA'!V138/'Quarterly Revenue&amp;EBITDA'!V23</f>
        <v>-0.1018460487</v>
      </c>
      <c r="W23" s="63"/>
      <c r="X23" s="63">
        <f>'Quarterly Revenue&amp;EBITDA'!X138/'Quarterly Revenue&amp;EBITDA'!X23</f>
        <v>0.02087821052</v>
      </c>
      <c r="Y23" s="43"/>
      <c r="Z23" s="43"/>
      <c r="AA23" s="43"/>
      <c r="AB23" s="43"/>
      <c r="AC23" s="43"/>
      <c r="AD23" s="43"/>
    </row>
    <row r="24">
      <c r="A24" s="42" t="s">
        <v>51</v>
      </c>
      <c r="B24" s="62"/>
      <c r="C24" s="63">
        <f>'Quarterly Revenue&amp;EBITDA'!C139/'Quarterly Revenue&amp;EBITDA'!C24</f>
        <v>0.02257260319</v>
      </c>
      <c r="D24" s="63">
        <f>'Quarterly Revenue&amp;EBITDA'!D139/'Quarterly Revenue&amp;EBITDA'!D24</f>
        <v>0.1717058853</v>
      </c>
      <c r="E24" s="63">
        <f>'Quarterly Revenue&amp;EBITDA'!E139/'Quarterly Revenue&amp;EBITDA'!E24</f>
        <v>0.2718263718</v>
      </c>
      <c r="F24" s="62"/>
      <c r="G24" s="62"/>
      <c r="H24" s="62"/>
      <c r="I24" s="62"/>
      <c r="J24" s="62"/>
      <c r="K24" s="62"/>
      <c r="L24" s="62"/>
      <c r="M24" s="62"/>
      <c r="N24" s="62"/>
      <c r="O24" s="65">
        <f>'Quarterly Revenue&amp;EBITDA'!O139/'Quarterly Revenue&amp;EBITDA'!O24</f>
        <v>-0.7789275635</v>
      </c>
      <c r="P24" s="62"/>
      <c r="Q24" s="62"/>
      <c r="R24" s="63"/>
      <c r="S24" s="63">
        <f>'Quarterly Revenue&amp;EBITDA'!S139/'Quarterly Revenue&amp;EBITDA'!S24</f>
        <v>-0.2099786407</v>
      </c>
      <c r="T24" s="62"/>
      <c r="U24" s="62"/>
      <c r="V24" s="63">
        <f>'Quarterly Revenue&amp;EBITDA'!V139/'Quarterly Revenue&amp;EBITDA'!V24</f>
        <v>-0.1018460487</v>
      </c>
      <c r="W24" s="63"/>
      <c r="X24" s="63">
        <f>'Quarterly Revenue&amp;EBITDA'!X139/'Quarterly Revenue&amp;EBITDA'!X24</f>
        <v>0.02087821052</v>
      </c>
      <c r="Y24" s="43"/>
      <c r="Z24" s="43"/>
      <c r="AA24" s="43"/>
      <c r="AB24" s="43"/>
      <c r="AC24" s="43"/>
      <c r="AD24" s="43"/>
    </row>
    <row r="25">
      <c r="A25" s="42" t="s">
        <v>52</v>
      </c>
      <c r="B25" s="62"/>
      <c r="C25" s="63">
        <f>'Quarterly Revenue&amp;EBITDA'!C140/'Quarterly Revenue&amp;EBITDA'!C25</f>
        <v>0.02257260319</v>
      </c>
      <c r="D25" s="63">
        <f>'Quarterly Revenue&amp;EBITDA'!D140/'Quarterly Revenue&amp;EBITDA'!D25</f>
        <v>0.1717058853</v>
      </c>
      <c r="E25" s="63">
        <f>'Quarterly Revenue&amp;EBITDA'!E140/'Quarterly Revenue&amp;EBITDA'!E25</f>
        <v>0.2718263718</v>
      </c>
      <c r="F25" s="62"/>
      <c r="G25" s="62"/>
      <c r="H25" s="62"/>
      <c r="I25" s="62"/>
      <c r="J25" s="62"/>
      <c r="K25" s="62"/>
      <c r="L25" s="62"/>
      <c r="M25" s="62"/>
      <c r="N25" s="62"/>
      <c r="O25" s="65">
        <f>'Quarterly Revenue&amp;EBITDA'!O140/'Quarterly Revenue&amp;EBITDA'!O25</f>
        <v>-0.4621212121</v>
      </c>
      <c r="P25" s="62"/>
      <c r="Q25" s="62"/>
      <c r="R25" s="63"/>
      <c r="S25" s="63">
        <f>'Quarterly Revenue&amp;EBITDA'!S140/'Quarterly Revenue&amp;EBITDA'!S25</f>
        <v>-0.2099786407</v>
      </c>
      <c r="T25" s="62"/>
      <c r="U25" s="62"/>
      <c r="V25" s="63">
        <f>'Quarterly Revenue&amp;EBITDA'!V140/'Quarterly Revenue&amp;EBITDA'!V25</f>
        <v>-0.1018460487</v>
      </c>
      <c r="W25" s="63"/>
      <c r="X25" s="63">
        <f>'Quarterly Revenue&amp;EBITDA'!X140/'Quarterly Revenue&amp;EBITDA'!X25</f>
        <v>0.1548803083</v>
      </c>
      <c r="Y25" s="43"/>
      <c r="Z25" s="43"/>
      <c r="AA25" s="43"/>
      <c r="AB25" s="43"/>
      <c r="AC25" s="43"/>
      <c r="AD25" s="43"/>
    </row>
    <row r="26">
      <c r="A26" s="42" t="s">
        <v>53</v>
      </c>
      <c r="B26" s="62"/>
      <c r="C26" s="63">
        <f>'Quarterly Revenue&amp;EBITDA'!C141/'Quarterly Revenue&amp;EBITDA'!C26</f>
        <v>0.02257260319</v>
      </c>
      <c r="D26" s="63">
        <f>'Quarterly Revenue&amp;EBITDA'!D141/'Quarterly Revenue&amp;EBITDA'!D26</f>
        <v>0.1717058853</v>
      </c>
      <c r="E26" s="63">
        <f>'Quarterly Revenue&amp;EBITDA'!E141/'Quarterly Revenue&amp;EBITDA'!E26</f>
        <v>0.2718263718</v>
      </c>
      <c r="F26" s="62"/>
      <c r="G26" s="62"/>
      <c r="H26" s="62"/>
      <c r="I26" s="62"/>
      <c r="J26" s="62"/>
      <c r="K26" s="62"/>
      <c r="L26" s="62"/>
      <c r="M26" s="62"/>
      <c r="N26" s="62"/>
      <c r="O26" s="65">
        <f>'Quarterly Revenue&amp;EBITDA'!O141/'Quarterly Revenue&amp;EBITDA'!O26</f>
        <v>-0.4621212121</v>
      </c>
      <c r="P26" s="62"/>
      <c r="Q26" s="62"/>
      <c r="R26" s="63"/>
      <c r="S26" s="63">
        <f>'Quarterly Revenue&amp;EBITDA'!S141/'Quarterly Revenue&amp;EBITDA'!S26</f>
        <v>-0.2099786407</v>
      </c>
      <c r="T26" s="62"/>
      <c r="U26" s="62"/>
      <c r="V26" s="63">
        <f>'Quarterly Revenue&amp;EBITDA'!V141/'Quarterly Revenue&amp;EBITDA'!V26</f>
        <v>-0.1018460487</v>
      </c>
      <c r="W26" s="63"/>
      <c r="X26" s="63">
        <f>'Quarterly Revenue&amp;EBITDA'!X141/'Quarterly Revenue&amp;EBITDA'!X26</f>
        <v>0.1548803083</v>
      </c>
      <c r="Y26" s="43"/>
      <c r="Z26" s="43"/>
      <c r="AA26" s="43"/>
      <c r="AB26" s="43"/>
      <c r="AC26" s="43"/>
      <c r="AD26" s="43"/>
    </row>
    <row r="27">
      <c r="A27" s="42" t="s">
        <v>54</v>
      </c>
      <c r="B27" s="62"/>
      <c r="C27" s="63">
        <f>'Quarterly Revenue&amp;EBITDA'!C142/'Quarterly Revenue&amp;EBITDA'!C27</f>
        <v>0.03010787798</v>
      </c>
      <c r="D27" s="63">
        <f>'Quarterly Revenue&amp;EBITDA'!D142/'Quarterly Revenue&amp;EBITDA'!D27</f>
        <v>0.1564342962</v>
      </c>
      <c r="E27" s="63">
        <f>'Quarterly Revenue&amp;EBITDA'!E142/'Quarterly Revenue&amp;EBITDA'!E27</f>
        <v>0.3597863942</v>
      </c>
      <c r="F27" s="62"/>
      <c r="G27" s="62"/>
      <c r="H27" s="62"/>
      <c r="I27" s="62"/>
      <c r="J27" s="62"/>
      <c r="K27" s="62"/>
      <c r="L27" s="62"/>
      <c r="M27" s="62"/>
      <c r="N27" s="62"/>
      <c r="O27" s="65">
        <f>'Quarterly Revenue&amp;EBITDA'!O142/'Quarterly Revenue&amp;EBITDA'!O27</f>
        <v>-0.4621212121</v>
      </c>
      <c r="P27" s="62"/>
      <c r="Q27" s="62"/>
      <c r="R27" s="63"/>
      <c r="S27" s="63">
        <f>'Quarterly Revenue&amp;EBITDA'!S142/'Quarterly Revenue&amp;EBITDA'!S27</f>
        <v>-0.253226252</v>
      </c>
      <c r="T27" s="62"/>
      <c r="U27" s="62"/>
      <c r="V27" s="63">
        <f>'Quarterly Revenue&amp;EBITDA'!V142/'Quarterly Revenue&amp;EBITDA'!V27</f>
        <v>-0.06627935825</v>
      </c>
      <c r="W27" s="63"/>
      <c r="X27" s="63">
        <f>'Quarterly Revenue&amp;EBITDA'!X142/'Quarterly Revenue&amp;EBITDA'!X27</f>
        <v>0.1548803083</v>
      </c>
      <c r="Y27" s="43"/>
      <c r="Z27" s="43"/>
      <c r="AA27" s="43"/>
      <c r="AB27" s="43"/>
      <c r="AC27" s="43"/>
      <c r="AD27" s="43"/>
    </row>
    <row r="28">
      <c r="A28" s="42" t="s">
        <v>55</v>
      </c>
      <c r="B28" s="62"/>
      <c r="C28" s="63">
        <f>'Quarterly Revenue&amp;EBITDA'!C143/'Quarterly Revenue&amp;EBITDA'!C28</f>
        <v>0.03010787798</v>
      </c>
      <c r="D28" s="63">
        <f>'Quarterly Revenue&amp;EBITDA'!D143/'Quarterly Revenue&amp;EBITDA'!D28</f>
        <v>0.1564342962</v>
      </c>
      <c r="E28" s="63">
        <f>'Quarterly Revenue&amp;EBITDA'!E143/'Quarterly Revenue&amp;EBITDA'!E28</f>
        <v>0.3597863942</v>
      </c>
      <c r="F28" s="62"/>
      <c r="G28" s="62"/>
      <c r="H28" s="62"/>
      <c r="I28" s="62"/>
      <c r="J28" s="62"/>
      <c r="K28" s="62"/>
      <c r="L28" s="62"/>
      <c r="M28" s="62"/>
      <c r="N28" s="62"/>
      <c r="O28" s="65">
        <f>'Quarterly Revenue&amp;EBITDA'!O143/'Quarterly Revenue&amp;EBITDA'!O28</f>
        <v>-0.4621212121</v>
      </c>
      <c r="P28" s="62"/>
      <c r="Q28" s="62"/>
      <c r="R28" s="63"/>
      <c r="S28" s="63">
        <f>'Quarterly Revenue&amp;EBITDA'!S143/'Quarterly Revenue&amp;EBITDA'!S28</f>
        <v>-0.253226252</v>
      </c>
      <c r="T28" s="62"/>
      <c r="U28" s="62"/>
      <c r="V28" s="63">
        <f>'Quarterly Revenue&amp;EBITDA'!V143/'Quarterly Revenue&amp;EBITDA'!V28</f>
        <v>-0.06627935825</v>
      </c>
      <c r="W28" s="63"/>
      <c r="X28" s="63">
        <f>'Quarterly Revenue&amp;EBITDA'!X143/'Quarterly Revenue&amp;EBITDA'!X28</f>
        <v>0.1548803083</v>
      </c>
      <c r="Y28" s="43"/>
      <c r="Z28" s="43"/>
      <c r="AA28" s="43"/>
      <c r="AB28" s="43"/>
      <c r="AC28" s="43"/>
      <c r="AD28" s="43"/>
    </row>
    <row r="29">
      <c r="A29" s="42" t="s">
        <v>56</v>
      </c>
      <c r="B29" s="62"/>
      <c r="C29" s="63">
        <f>'Quarterly Revenue&amp;EBITDA'!C144/'Quarterly Revenue&amp;EBITDA'!C29</f>
        <v>0.03010787798</v>
      </c>
      <c r="D29" s="63">
        <f>'Quarterly Revenue&amp;EBITDA'!D144/'Quarterly Revenue&amp;EBITDA'!D29</f>
        <v>0.1564342962</v>
      </c>
      <c r="E29" s="63">
        <f>'Quarterly Revenue&amp;EBITDA'!E144/'Quarterly Revenue&amp;EBITDA'!E29</f>
        <v>0.3597863942</v>
      </c>
      <c r="F29" s="62"/>
      <c r="G29" s="62"/>
      <c r="H29" s="62"/>
      <c r="I29" s="62"/>
      <c r="J29" s="62"/>
      <c r="K29" s="62"/>
      <c r="L29" s="62"/>
      <c r="M29" s="62"/>
      <c r="N29" s="62"/>
      <c r="O29" s="65">
        <f>'Quarterly Revenue&amp;EBITDA'!O144/'Quarterly Revenue&amp;EBITDA'!O29</f>
        <v>-0.6942482341</v>
      </c>
      <c r="P29" s="62"/>
      <c r="Q29" s="62"/>
      <c r="R29" s="63"/>
      <c r="S29" s="63">
        <f>'Quarterly Revenue&amp;EBITDA'!S144/'Quarterly Revenue&amp;EBITDA'!S29</f>
        <v>-0.253226252</v>
      </c>
      <c r="T29" s="62"/>
      <c r="U29" s="62"/>
      <c r="V29" s="63">
        <f>'Quarterly Revenue&amp;EBITDA'!V144/'Quarterly Revenue&amp;EBITDA'!V29</f>
        <v>-0.06627935825</v>
      </c>
      <c r="W29" s="63"/>
      <c r="X29" s="63">
        <f>'Quarterly Revenue&amp;EBITDA'!X144/'Quarterly Revenue&amp;EBITDA'!X29</f>
        <v>0.1562782734</v>
      </c>
      <c r="Y29" s="43"/>
      <c r="Z29" s="43"/>
      <c r="AA29" s="43"/>
      <c r="AB29" s="43"/>
      <c r="AC29" s="43"/>
      <c r="AD29" s="43"/>
    </row>
    <row r="30">
      <c r="A30" s="42" t="s">
        <v>57</v>
      </c>
      <c r="B30" s="62"/>
      <c r="C30" s="63">
        <f>'Quarterly Revenue&amp;EBITDA'!C145/'Quarterly Revenue&amp;EBITDA'!C30</f>
        <v>0.03010787798</v>
      </c>
      <c r="D30" s="63">
        <f>'Quarterly Revenue&amp;EBITDA'!D145/'Quarterly Revenue&amp;EBITDA'!D30</f>
        <v>0.1564342962</v>
      </c>
      <c r="E30" s="63">
        <f>'Quarterly Revenue&amp;EBITDA'!E145/'Quarterly Revenue&amp;EBITDA'!E30</f>
        <v>0.3597863942</v>
      </c>
      <c r="F30" s="62"/>
      <c r="G30" s="62"/>
      <c r="H30" s="62"/>
      <c r="I30" s="62"/>
      <c r="J30" s="62"/>
      <c r="K30" s="62"/>
      <c r="L30" s="62"/>
      <c r="M30" s="62"/>
      <c r="N30" s="62"/>
      <c r="O30" s="65">
        <f>'Quarterly Revenue&amp;EBITDA'!O145/'Quarterly Revenue&amp;EBITDA'!O30</f>
        <v>-0.6942482341</v>
      </c>
      <c r="P30" s="62"/>
      <c r="Q30" s="62"/>
      <c r="R30" s="63"/>
      <c r="S30" s="63">
        <f>'Quarterly Revenue&amp;EBITDA'!S145/'Quarterly Revenue&amp;EBITDA'!S30</f>
        <v>-0.253226252</v>
      </c>
      <c r="T30" s="62"/>
      <c r="U30" s="62"/>
      <c r="V30" s="63">
        <f>'Quarterly Revenue&amp;EBITDA'!V145/'Quarterly Revenue&amp;EBITDA'!V30</f>
        <v>-0.06627935825</v>
      </c>
      <c r="W30" s="63"/>
      <c r="X30" s="63">
        <f>'Quarterly Revenue&amp;EBITDA'!X145/'Quarterly Revenue&amp;EBITDA'!X30</f>
        <v>0.1562782734</v>
      </c>
      <c r="Y30" s="43"/>
      <c r="Z30" s="43"/>
      <c r="AA30" s="43"/>
      <c r="AB30" s="43"/>
      <c r="AC30" s="43"/>
      <c r="AD30" s="43"/>
    </row>
    <row r="31">
      <c r="A31" s="42" t="s">
        <v>58</v>
      </c>
      <c r="B31" s="62"/>
      <c r="C31" s="63">
        <f>'Quarterly Revenue&amp;EBITDA'!C146/'Quarterly Revenue&amp;EBITDA'!C31</f>
        <v>0.04899428241</v>
      </c>
      <c r="D31" s="63">
        <f>'Quarterly Revenue&amp;EBITDA'!D146/'Quarterly Revenue&amp;EBITDA'!D31</f>
        <v>0.2222610475</v>
      </c>
      <c r="E31" s="63">
        <f>'Quarterly Revenue&amp;EBITDA'!E146/'Quarterly Revenue&amp;EBITDA'!E31</f>
        <v>0.4157267634</v>
      </c>
      <c r="F31" s="62"/>
      <c r="G31" s="62"/>
      <c r="H31" s="62"/>
      <c r="I31" s="62"/>
      <c r="J31" s="62"/>
      <c r="K31" s="62"/>
      <c r="L31" s="62"/>
      <c r="M31" s="62"/>
      <c r="N31" s="62"/>
      <c r="O31" s="65">
        <f>'Quarterly Revenue&amp;EBITDA'!O146/'Quarterly Revenue&amp;EBITDA'!O31</f>
        <v>-0.6942482341</v>
      </c>
      <c r="P31" s="62"/>
      <c r="Q31" s="62"/>
      <c r="R31" s="63"/>
      <c r="S31" s="63"/>
      <c r="T31" s="62"/>
      <c r="U31" s="62"/>
      <c r="V31" s="63">
        <f>'Quarterly Revenue&amp;EBITDA'!V146/'Quarterly Revenue&amp;EBITDA'!V31</f>
        <v>-0.2459016393</v>
      </c>
      <c r="W31" s="63"/>
      <c r="X31" s="63">
        <f>'Quarterly Revenue&amp;EBITDA'!X146/'Quarterly Revenue&amp;EBITDA'!X31</f>
        <v>0.1562782734</v>
      </c>
      <c r="Y31" s="43"/>
      <c r="Z31" s="43"/>
      <c r="AA31" s="43"/>
      <c r="AB31" s="43"/>
      <c r="AC31" s="43"/>
      <c r="AD31" s="43"/>
    </row>
    <row r="32">
      <c r="A32" s="42" t="s">
        <v>59</v>
      </c>
      <c r="B32" s="62"/>
      <c r="C32" s="63">
        <f>'Quarterly Revenue&amp;EBITDA'!C147/'Quarterly Revenue&amp;EBITDA'!C32</f>
        <v>0.04899428241</v>
      </c>
      <c r="D32" s="63">
        <f>'Quarterly Revenue&amp;EBITDA'!D147/'Quarterly Revenue&amp;EBITDA'!D32</f>
        <v>0.2222610475</v>
      </c>
      <c r="E32" s="63">
        <f>'Quarterly Revenue&amp;EBITDA'!E147/'Quarterly Revenue&amp;EBITDA'!E32</f>
        <v>0.4157267634</v>
      </c>
      <c r="F32" s="62"/>
      <c r="G32" s="62"/>
      <c r="H32" s="62"/>
      <c r="I32" s="62"/>
      <c r="J32" s="62"/>
      <c r="K32" s="62"/>
      <c r="L32" s="62"/>
      <c r="M32" s="62"/>
      <c r="N32" s="62"/>
      <c r="O32" s="65">
        <f>'Quarterly Revenue&amp;EBITDA'!O147/'Quarterly Revenue&amp;EBITDA'!O32</f>
        <v>-0.6942482341</v>
      </c>
      <c r="P32" s="62"/>
      <c r="Q32" s="62"/>
      <c r="R32" s="63"/>
      <c r="S32" s="63"/>
      <c r="T32" s="62"/>
      <c r="U32" s="62"/>
      <c r="V32" s="63">
        <f>'Quarterly Revenue&amp;EBITDA'!V147/'Quarterly Revenue&amp;EBITDA'!V32</f>
        <v>-0.2459016393</v>
      </c>
      <c r="W32" s="63"/>
      <c r="X32" s="63">
        <f>'Quarterly Revenue&amp;EBITDA'!X147/'Quarterly Revenue&amp;EBITDA'!X32</f>
        <v>0.1562782734</v>
      </c>
      <c r="Y32" s="43"/>
      <c r="Z32" s="43"/>
      <c r="AA32" s="43"/>
      <c r="AB32" s="43"/>
      <c r="AC32" s="43"/>
      <c r="AD32" s="43"/>
    </row>
    <row r="33">
      <c r="A33" s="42" t="s">
        <v>60</v>
      </c>
      <c r="B33" s="62"/>
      <c r="C33" s="63">
        <f>'Quarterly Revenue&amp;EBITDA'!C148/'Quarterly Revenue&amp;EBITDA'!C33</f>
        <v>0.04899428241</v>
      </c>
      <c r="D33" s="63">
        <f>'Quarterly Revenue&amp;EBITDA'!D148/'Quarterly Revenue&amp;EBITDA'!D33</f>
        <v>0.2222610475</v>
      </c>
      <c r="E33" s="63">
        <f>'Quarterly Revenue&amp;EBITDA'!E148/'Quarterly Revenue&amp;EBITDA'!E33</f>
        <v>0.4157267634</v>
      </c>
      <c r="F33" s="62"/>
      <c r="G33" s="62"/>
      <c r="H33" s="62"/>
      <c r="I33" s="62"/>
      <c r="J33" s="62"/>
      <c r="K33" s="62"/>
      <c r="L33" s="62"/>
      <c r="M33" s="62"/>
      <c r="N33" s="62"/>
      <c r="O33" s="65">
        <f>'Quarterly Revenue&amp;EBITDA'!O148/'Quarterly Revenue&amp;EBITDA'!O33</f>
        <v>0.3253132832</v>
      </c>
      <c r="P33" s="62"/>
      <c r="Q33" s="62"/>
      <c r="R33" s="63"/>
      <c r="S33" s="63"/>
      <c r="T33" s="62"/>
      <c r="U33" s="62"/>
      <c r="V33" s="63">
        <f>'Quarterly Revenue&amp;EBITDA'!V148/'Quarterly Revenue&amp;EBITDA'!V33</f>
        <v>-0.2459016393</v>
      </c>
      <c r="W33" s="63"/>
      <c r="X33" s="63">
        <f>'Quarterly Revenue&amp;EBITDA'!X148/'Quarterly Revenue&amp;EBITDA'!X33</f>
        <v>0.1618310215</v>
      </c>
      <c r="Y33" s="43"/>
      <c r="Z33" s="43"/>
      <c r="AA33" s="43"/>
      <c r="AB33" s="43"/>
      <c r="AC33" s="43"/>
      <c r="AD33" s="43"/>
    </row>
    <row r="34">
      <c r="A34" s="42" t="s">
        <v>61</v>
      </c>
      <c r="B34" s="62"/>
      <c r="C34" s="63">
        <f>'Quarterly Revenue&amp;EBITDA'!C149/'Quarterly Revenue&amp;EBITDA'!C34</f>
        <v>0.04899428241</v>
      </c>
      <c r="D34" s="63">
        <f>'Quarterly Revenue&amp;EBITDA'!D149/'Quarterly Revenue&amp;EBITDA'!D34</f>
        <v>0.2222610475</v>
      </c>
      <c r="E34" s="63">
        <f>'Quarterly Revenue&amp;EBITDA'!E149/'Quarterly Revenue&amp;EBITDA'!E34</f>
        <v>0.4157267634</v>
      </c>
      <c r="F34" s="62"/>
      <c r="G34" s="62"/>
      <c r="H34" s="62"/>
      <c r="I34" s="62"/>
      <c r="J34" s="62"/>
      <c r="K34" s="62"/>
      <c r="L34" s="62"/>
      <c r="M34" s="62"/>
      <c r="N34" s="62"/>
      <c r="O34" s="65">
        <f>'Quarterly Revenue&amp;EBITDA'!O149/'Quarterly Revenue&amp;EBITDA'!O34</f>
        <v>0.3253132832</v>
      </c>
      <c r="P34" s="62"/>
      <c r="Q34" s="62"/>
      <c r="R34" s="63"/>
      <c r="S34" s="63"/>
      <c r="T34" s="62"/>
      <c r="U34" s="62"/>
      <c r="V34" s="63"/>
      <c r="W34" s="63"/>
      <c r="X34" s="63">
        <f>'Quarterly Revenue&amp;EBITDA'!X149/'Quarterly Revenue&amp;EBITDA'!X34</f>
        <v>0.1618310215</v>
      </c>
      <c r="Y34" s="43"/>
      <c r="Z34" s="43"/>
      <c r="AA34" s="43"/>
      <c r="AB34" s="43"/>
      <c r="AC34" s="43"/>
      <c r="AD34" s="43"/>
    </row>
    <row r="35">
      <c r="A35" s="42" t="s">
        <v>62</v>
      </c>
      <c r="B35" s="62"/>
      <c r="C35" s="63">
        <f>'Quarterly Revenue&amp;EBITDA'!C150/'Quarterly Revenue&amp;EBITDA'!C35</f>
        <v>0.06736334739</v>
      </c>
      <c r="D35" s="63">
        <f>'Quarterly Revenue&amp;EBITDA'!D150/'Quarterly Revenue&amp;EBITDA'!D35</f>
        <v>0.270618626</v>
      </c>
      <c r="E35" s="63">
        <f>'Quarterly Revenue&amp;EBITDA'!E150/'Quarterly Revenue&amp;EBITDA'!E35</f>
        <v>0.4617517945</v>
      </c>
      <c r="F35" s="62"/>
      <c r="G35" s="62"/>
      <c r="H35" s="62"/>
      <c r="I35" s="62"/>
      <c r="J35" s="62"/>
      <c r="K35" s="62"/>
      <c r="L35" s="62"/>
      <c r="M35" s="62"/>
      <c r="N35" s="62"/>
      <c r="O35" s="65">
        <f>'Quarterly Revenue&amp;EBITDA'!O150/'Quarterly Revenue&amp;EBITDA'!O35</f>
        <v>0.3253132832</v>
      </c>
      <c r="P35" s="62"/>
      <c r="Q35" s="62"/>
      <c r="R35" s="63"/>
      <c r="S35" s="63"/>
      <c r="T35" s="62"/>
      <c r="U35" s="62"/>
      <c r="V35" s="63"/>
      <c r="W35" s="63"/>
      <c r="X35" s="63">
        <f>'Quarterly Revenue&amp;EBITDA'!X150/'Quarterly Revenue&amp;EBITDA'!X35</f>
        <v>0.1618310215</v>
      </c>
      <c r="Y35" s="43"/>
      <c r="Z35" s="43"/>
      <c r="AA35" s="43"/>
      <c r="AB35" s="43"/>
      <c r="AC35" s="43"/>
      <c r="AD35" s="43"/>
    </row>
    <row r="36">
      <c r="A36" s="42" t="s">
        <v>63</v>
      </c>
      <c r="B36" s="62"/>
      <c r="C36" s="63">
        <f>'Quarterly Revenue&amp;EBITDA'!C151/'Quarterly Revenue&amp;EBITDA'!C36</f>
        <v>0.06736334739</v>
      </c>
      <c r="D36" s="63">
        <f>'Quarterly Revenue&amp;EBITDA'!D151/'Quarterly Revenue&amp;EBITDA'!D36</f>
        <v>0.270618626</v>
      </c>
      <c r="E36" s="63">
        <f>'Quarterly Revenue&amp;EBITDA'!E151/'Quarterly Revenue&amp;EBITDA'!E36</f>
        <v>0.4617517945</v>
      </c>
      <c r="F36" s="62"/>
      <c r="G36" s="62"/>
      <c r="H36" s="62"/>
      <c r="I36" s="62"/>
      <c r="J36" s="62"/>
      <c r="K36" s="62"/>
      <c r="L36" s="62"/>
      <c r="M36" s="62"/>
      <c r="N36" s="62"/>
      <c r="O36" s="65">
        <f>'Quarterly Revenue&amp;EBITDA'!O151/'Quarterly Revenue&amp;EBITDA'!O36</f>
        <v>0.3253132832</v>
      </c>
      <c r="P36" s="62"/>
      <c r="Q36" s="62"/>
      <c r="R36" s="63"/>
      <c r="S36" s="63"/>
      <c r="T36" s="62"/>
      <c r="U36" s="62"/>
      <c r="V36" s="63"/>
      <c r="W36" s="63"/>
      <c r="X36" s="63">
        <f>'Quarterly Revenue&amp;EBITDA'!X151/'Quarterly Revenue&amp;EBITDA'!X36</f>
        <v>0.1618310215</v>
      </c>
      <c r="Y36" s="43"/>
      <c r="Z36" s="43"/>
      <c r="AA36" s="43"/>
      <c r="AB36" s="43"/>
      <c r="AC36" s="43"/>
      <c r="AD36" s="43"/>
    </row>
    <row r="37">
      <c r="A37" s="42" t="s">
        <v>64</v>
      </c>
      <c r="B37" s="62"/>
      <c r="C37" s="63">
        <f>'Quarterly Revenue&amp;EBITDA'!C152/'Quarterly Revenue&amp;EBITDA'!C37</f>
        <v>0.06736334739</v>
      </c>
      <c r="D37" s="63">
        <f>'Quarterly Revenue&amp;EBITDA'!D152/'Quarterly Revenue&amp;EBITDA'!D37</f>
        <v>0.270618626</v>
      </c>
      <c r="E37" s="63">
        <f>'Quarterly Revenue&amp;EBITDA'!E152/'Quarterly Revenue&amp;EBITDA'!E37</f>
        <v>0.4617517945</v>
      </c>
      <c r="F37" s="62"/>
      <c r="G37" s="62"/>
      <c r="H37" s="62"/>
      <c r="I37" s="62"/>
      <c r="J37" s="62"/>
      <c r="K37" s="62"/>
      <c r="L37" s="62"/>
      <c r="M37" s="62"/>
      <c r="N37" s="62"/>
      <c r="O37" s="65">
        <f>'Quarterly Revenue&amp;EBITDA'!O152/'Quarterly Revenue&amp;EBITDA'!O37</f>
        <v>0.3339941691</v>
      </c>
      <c r="P37" s="62"/>
      <c r="Q37" s="62"/>
      <c r="R37" s="63"/>
      <c r="S37" s="63"/>
      <c r="T37" s="62"/>
      <c r="U37" s="62"/>
      <c r="V37" s="63"/>
      <c r="W37" s="63"/>
      <c r="X37" s="63">
        <f>'Quarterly Revenue&amp;EBITDA'!X152/'Quarterly Revenue&amp;EBITDA'!X37</f>
        <v>0.1513738425</v>
      </c>
      <c r="Y37" s="43"/>
      <c r="Z37" s="43"/>
      <c r="AA37" s="43"/>
      <c r="AB37" s="43"/>
      <c r="AC37" s="43"/>
      <c r="AD37" s="43"/>
    </row>
    <row r="38">
      <c r="A38" s="42" t="s">
        <v>65</v>
      </c>
      <c r="B38" s="62"/>
      <c r="C38" s="63">
        <f>'Quarterly Revenue&amp;EBITDA'!C153/'Quarterly Revenue&amp;EBITDA'!C38</f>
        <v>0.06736334739</v>
      </c>
      <c r="D38" s="63">
        <f>'Quarterly Revenue&amp;EBITDA'!D153/'Quarterly Revenue&amp;EBITDA'!D38</f>
        <v>0.270618626</v>
      </c>
      <c r="E38" s="63">
        <f>'Quarterly Revenue&amp;EBITDA'!E153/'Quarterly Revenue&amp;EBITDA'!E38</f>
        <v>0.4617517945</v>
      </c>
      <c r="F38" s="62"/>
      <c r="G38" s="62"/>
      <c r="H38" s="62"/>
      <c r="I38" s="62"/>
      <c r="J38" s="62"/>
      <c r="K38" s="62"/>
      <c r="L38" s="62"/>
      <c r="M38" s="62"/>
      <c r="N38" s="62"/>
      <c r="O38" s="65">
        <f>'Quarterly Revenue&amp;EBITDA'!O153/'Quarterly Revenue&amp;EBITDA'!O38</f>
        <v>0.3339941691</v>
      </c>
      <c r="P38" s="62"/>
      <c r="Q38" s="62"/>
      <c r="R38" s="63"/>
      <c r="S38" s="63"/>
      <c r="T38" s="62"/>
      <c r="U38" s="62"/>
      <c r="V38" s="63"/>
      <c r="W38" s="63"/>
      <c r="X38" s="63">
        <f>'Quarterly Revenue&amp;EBITDA'!X153/'Quarterly Revenue&amp;EBITDA'!X38</f>
        <v>0.1513738425</v>
      </c>
      <c r="Y38" s="43"/>
      <c r="Z38" s="43"/>
      <c r="AA38" s="43"/>
      <c r="AB38" s="43"/>
      <c r="AC38" s="43"/>
      <c r="AD38" s="43"/>
    </row>
    <row r="39">
      <c r="A39" s="42" t="s">
        <v>66</v>
      </c>
      <c r="B39" s="62"/>
      <c r="C39" s="63">
        <f>'Quarterly Revenue&amp;EBITDA'!C154/'Quarterly Revenue&amp;EBITDA'!C39</f>
        <v>0.08638655582</v>
      </c>
      <c r="D39" s="63">
        <f>'Quarterly Revenue&amp;EBITDA'!D154/'Quarterly Revenue&amp;EBITDA'!D39</f>
        <v>0.2493195792</v>
      </c>
      <c r="E39" s="63">
        <f>'Quarterly Revenue&amp;EBITDA'!E154/'Quarterly Revenue&amp;EBITDA'!E39</f>
        <v>0.3547253615</v>
      </c>
      <c r="F39" s="62"/>
      <c r="G39" s="62"/>
      <c r="H39" s="62"/>
      <c r="I39" s="62"/>
      <c r="J39" s="62"/>
      <c r="K39" s="62"/>
      <c r="L39" s="62"/>
      <c r="M39" s="62"/>
      <c r="N39" s="62"/>
      <c r="O39" s="65">
        <f>'Quarterly Revenue&amp;EBITDA'!O154/'Quarterly Revenue&amp;EBITDA'!O39</f>
        <v>0.3339941691</v>
      </c>
      <c r="P39" s="62"/>
      <c r="Q39" s="62"/>
      <c r="R39" s="63"/>
      <c r="S39" s="63"/>
      <c r="T39" s="62"/>
      <c r="V39" s="63"/>
      <c r="W39" s="63"/>
      <c r="X39" s="63">
        <f>'Quarterly Revenue&amp;EBITDA'!X154/'Quarterly Revenue&amp;EBITDA'!X39</f>
        <v>0.1513738425</v>
      </c>
      <c r="Y39" s="43"/>
      <c r="Z39" s="43"/>
      <c r="AA39" s="43"/>
      <c r="AB39" s="43"/>
      <c r="AC39" s="43"/>
      <c r="AD39" s="43"/>
    </row>
    <row r="40">
      <c r="A40" s="42" t="s">
        <v>67</v>
      </c>
      <c r="B40" s="62"/>
      <c r="C40" s="63">
        <f>'Quarterly Revenue&amp;EBITDA'!C155/'Quarterly Revenue&amp;EBITDA'!C40</f>
        <v>0.08638655582</v>
      </c>
      <c r="D40" s="63">
        <f>'Quarterly Revenue&amp;EBITDA'!D155/'Quarterly Revenue&amp;EBITDA'!D40</f>
        <v>0.2493195792</v>
      </c>
      <c r="E40" s="63">
        <f>'Quarterly Revenue&amp;EBITDA'!E155/'Quarterly Revenue&amp;EBITDA'!E40</f>
        <v>0.3547253615</v>
      </c>
      <c r="F40" s="62"/>
      <c r="G40" s="62"/>
      <c r="H40" s="62"/>
      <c r="I40" s="62"/>
      <c r="J40" s="62"/>
      <c r="K40" s="62"/>
      <c r="L40" s="62"/>
      <c r="M40" s="62"/>
      <c r="N40" s="62"/>
      <c r="O40" s="65">
        <f>'Quarterly Revenue&amp;EBITDA'!O155/'Quarterly Revenue&amp;EBITDA'!O40</f>
        <v>0.3339941691</v>
      </c>
      <c r="P40" s="62"/>
      <c r="Q40" s="62"/>
      <c r="R40" s="63"/>
      <c r="S40" s="63"/>
      <c r="T40" s="62"/>
      <c r="U40" s="62"/>
      <c r="V40" s="63"/>
      <c r="W40" s="63"/>
      <c r="X40" s="63">
        <f>'Quarterly Revenue&amp;EBITDA'!X155/'Quarterly Revenue&amp;EBITDA'!X40</f>
        <v>0.1513738425</v>
      </c>
      <c r="Y40" s="43"/>
      <c r="Z40" s="43"/>
      <c r="AA40" s="43"/>
      <c r="AB40" s="43"/>
      <c r="AC40" s="43"/>
      <c r="AD40" s="43"/>
    </row>
    <row r="41">
      <c r="A41" s="42" t="s">
        <v>68</v>
      </c>
      <c r="B41" s="62"/>
      <c r="C41" s="63">
        <f>'Quarterly Revenue&amp;EBITDA'!C156/'Quarterly Revenue&amp;EBITDA'!C41</f>
        <v>0.08638655582</v>
      </c>
      <c r="D41" s="63">
        <f>'Quarterly Revenue&amp;EBITDA'!D156/'Quarterly Revenue&amp;EBITDA'!D41</f>
        <v>0.2493195792</v>
      </c>
      <c r="E41" s="63">
        <f>'Quarterly Revenue&amp;EBITDA'!E156/'Quarterly Revenue&amp;EBITDA'!E41</f>
        <v>0.3547253615</v>
      </c>
      <c r="F41" s="62"/>
      <c r="G41" s="62"/>
      <c r="H41" s="62"/>
      <c r="I41" s="62"/>
      <c r="J41" s="62"/>
      <c r="K41" s="62"/>
      <c r="L41" s="62"/>
      <c r="M41" s="62"/>
      <c r="N41" s="62"/>
      <c r="O41" s="65">
        <f>'Quarterly Revenue&amp;EBITDA'!O156/'Quarterly Revenue&amp;EBITDA'!O41</f>
        <v>0.2679719026</v>
      </c>
      <c r="P41" s="62"/>
      <c r="Q41" s="62"/>
      <c r="R41" s="62"/>
      <c r="S41" s="62"/>
      <c r="T41" s="62"/>
      <c r="U41" s="62"/>
      <c r="V41" s="63"/>
      <c r="W41" s="63"/>
      <c r="X41" s="63">
        <f>'Quarterly Revenue&amp;EBITDA'!X156/'Quarterly Revenue&amp;EBITDA'!X41</f>
        <v>0.1141228663</v>
      </c>
      <c r="Y41" s="43"/>
      <c r="Z41" s="43"/>
      <c r="AA41" s="43"/>
      <c r="AB41" s="43"/>
      <c r="AC41" s="43"/>
      <c r="AD41" s="43"/>
    </row>
    <row r="42">
      <c r="A42" s="42" t="s">
        <v>69</v>
      </c>
      <c r="B42" s="62"/>
      <c r="C42" s="63">
        <f>'Quarterly Revenue&amp;EBITDA'!C157/'Quarterly Revenue&amp;EBITDA'!C42</f>
        <v>0.08638655582</v>
      </c>
      <c r="D42" s="63">
        <f>'Quarterly Revenue&amp;EBITDA'!D157/'Quarterly Revenue&amp;EBITDA'!D42</f>
        <v>0.2493195792</v>
      </c>
      <c r="E42" s="63">
        <f>'Quarterly Revenue&amp;EBITDA'!E157/'Quarterly Revenue&amp;EBITDA'!E42</f>
        <v>0.3547253615</v>
      </c>
      <c r="F42" s="62"/>
      <c r="G42" s="62"/>
      <c r="H42" s="62"/>
      <c r="I42" s="62"/>
      <c r="J42" s="62"/>
      <c r="K42" s="62"/>
      <c r="L42" s="62"/>
      <c r="M42" s="62"/>
      <c r="N42" s="62"/>
      <c r="O42" s="65">
        <f>'Quarterly Revenue&amp;EBITDA'!O157/'Quarterly Revenue&amp;EBITDA'!O42</f>
        <v>0.2679719026</v>
      </c>
      <c r="P42" s="62"/>
      <c r="Q42" s="62"/>
      <c r="R42" s="62"/>
      <c r="S42" s="62"/>
      <c r="T42" s="62"/>
      <c r="U42" s="62"/>
      <c r="V42" s="63"/>
      <c r="W42" s="63"/>
      <c r="X42" s="63">
        <f>'Quarterly Revenue&amp;EBITDA'!X157/'Quarterly Revenue&amp;EBITDA'!X42</f>
        <v>0.1141228663</v>
      </c>
      <c r="Y42" s="43"/>
      <c r="Z42" s="43"/>
      <c r="AA42" s="43"/>
      <c r="AB42" s="43"/>
      <c r="AC42" s="43"/>
      <c r="AD42" s="43"/>
    </row>
    <row r="43">
      <c r="A43" s="42" t="s">
        <v>70</v>
      </c>
      <c r="B43" s="62"/>
      <c r="C43" s="63">
        <f>'Quarterly Revenue&amp;EBITDA'!C158/'Quarterly Revenue&amp;EBITDA'!C43</f>
        <v>0.1637459389</v>
      </c>
      <c r="D43" s="63">
        <f>'Quarterly Revenue&amp;EBITDA'!D158/'Quarterly Revenue&amp;EBITDA'!D43</f>
        <v>0.2499365933</v>
      </c>
      <c r="E43" s="63">
        <f>'Quarterly Revenue&amp;EBITDA'!E158/'Quarterly Revenue&amp;EBITDA'!E43</f>
        <v>0.3774283838</v>
      </c>
      <c r="F43" s="62"/>
      <c r="G43" s="62"/>
      <c r="H43" s="62"/>
      <c r="I43" s="62"/>
      <c r="J43" s="62"/>
      <c r="K43" s="62"/>
      <c r="L43" s="62"/>
      <c r="M43" s="62"/>
      <c r="N43" s="62"/>
      <c r="O43" s="65">
        <f>'Quarterly Revenue&amp;EBITDA'!O158/'Quarterly Revenue&amp;EBITDA'!O43</f>
        <v>0.2679719026</v>
      </c>
      <c r="P43" s="62"/>
      <c r="Q43" s="62"/>
      <c r="R43" s="62"/>
      <c r="S43" s="62"/>
      <c r="T43" s="62"/>
      <c r="U43" s="62"/>
      <c r="V43" s="63"/>
      <c r="W43" s="63"/>
      <c r="X43" s="63">
        <f>'Quarterly Revenue&amp;EBITDA'!X158/'Quarterly Revenue&amp;EBITDA'!X43</f>
        <v>0.1141228663</v>
      </c>
      <c r="Y43" s="43"/>
      <c r="Z43" s="43"/>
      <c r="AA43" s="43"/>
      <c r="AB43" s="43"/>
      <c r="AC43" s="43"/>
      <c r="AD43" s="43"/>
    </row>
    <row r="44">
      <c r="A44" s="42" t="s">
        <v>71</v>
      </c>
      <c r="B44" s="62"/>
      <c r="C44" s="63">
        <f>'Quarterly Revenue&amp;EBITDA'!C159/'Quarterly Revenue&amp;EBITDA'!C44</f>
        <v>0.1637459389</v>
      </c>
      <c r="D44" s="63">
        <f>'Quarterly Revenue&amp;EBITDA'!D159/'Quarterly Revenue&amp;EBITDA'!D44</f>
        <v>0.2499365933</v>
      </c>
      <c r="E44" s="63">
        <f>'Quarterly Revenue&amp;EBITDA'!E159/'Quarterly Revenue&amp;EBITDA'!E44</f>
        <v>0.3774283838</v>
      </c>
      <c r="F44" s="62"/>
      <c r="G44" s="62"/>
      <c r="H44" s="62"/>
      <c r="I44" s="62"/>
      <c r="J44" s="62"/>
      <c r="K44" s="62"/>
      <c r="L44" s="62"/>
      <c r="M44" s="62"/>
      <c r="N44" s="62"/>
      <c r="O44" s="65">
        <f>'Quarterly Revenue&amp;EBITDA'!O159/'Quarterly Revenue&amp;EBITDA'!O44</f>
        <v>0.2679719026</v>
      </c>
      <c r="P44" s="62"/>
      <c r="Q44" s="62"/>
      <c r="R44" s="62"/>
      <c r="S44" s="62"/>
      <c r="T44" s="62"/>
      <c r="U44" s="62"/>
      <c r="V44" s="63">
        <f>'Quarterly Revenue&amp;EBITDA'!V159/'Quarterly Revenue&amp;EBITDA'!V44</f>
        <v>-0.04772991851</v>
      </c>
      <c r="W44" s="63"/>
      <c r="X44" s="63">
        <f>'Quarterly Revenue&amp;EBITDA'!X159/'Quarterly Revenue&amp;EBITDA'!X44</f>
        <v>0.1141228663</v>
      </c>
      <c r="Y44" s="43"/>
      <c r="Z44" s="43"/>
      <c r="AA44" s="43"/>
      <c r="AB44" s="43"/>
      <c r="AC44" s="43"/>
      <c r="AD44" s="43"/>
    </row>
    <row r="45">
      <c r="A45" s="42" t="s">
        <v>72</v>
      </c>
      <c r="B45" s="62"/>
      <c r="C45" s="63">
        <f>'Quarterly Revenue&amp;EBITDA'!C160/'Quarterly Revenue&amp;EBITDA'!C45</f>
        <v>0.1637459389</v>
      </c>
      <c r="D45" s="63">
        <f>'Quarterly Revenue&amp;EBITDA'!D160/'Quarterly Revenue&amp;EBITDA'!D45</f>
        <v>0.2499365933</v>
      </c>
      <c r="E45" s="63">
        <f>'Quarterly Revenue&amp;EBITDA'!E160/'Quarterly Revenue&amp;EBITDA'!E45</f>
        <v>0.3774283838</v>
      </c>
      <c r="F45" s="62"/>
      <c r="G45" s="62"/>
      <c r="H45" s="62"/>
      <c r="I45" s="62"/>
      <c r="J45" s="62"/>
      <c r="K45" s="62"/>
      <c r="L45" s="62"/>
      <c r="M45" s="62"/>
      <c r="N45" s="62"/>
      <c r="O45" s="65">
        <f>'Quarterly Revenue&amp;EBITDA'!O160/'Quarterly Revenue&amp;EBITDA'!O45</f>
        <v>0.3518812931</v>
      </c>
      <c r="P45" s="62"/>
      <c r="Q45" s="62"/>
      <c r="R45" s="62"/>
      <c r="S45" s="62"/>
      <c r="T45" s="62"/>
      <c r="U45" s="62"/>
      <c r="V45" s="63">
        <f>'Quarterly Revenue&amp;EBITDA'!V160/'Quarterly Revenue&amp;EBITDA'!V45</f>
        <v>-0.04772991851</v>
      </c>
      <c r="W45" s="63"/>
      <c r="X45" s="63">
        <f>'Quarterly Revenue&amp;EBITDA'!X160/'Quarterly Revenue&amp;EBITDA'!X45</f>
        <v>0.1161085596</v>
      </c>
      <c r="Y45" s="43"/>
      <c r="Z45" s="43"/>
      <c r="AA45" s="43"/>
      <c r="AB45" s="43"/>
      <c r="AC45" s="43"/>
      <c r="AD45" s="43"/>
    </row>
    <row r="46">
      <c r="A46" s="42" t="s">
        <v>73</v>
      </c>
      <c r="B46" s="62"/>
      <c r="C46" s="63">
        <f>'Quarterly Revenue&amp;EBITDA'!C161/'Quarterly Revenue&amp;EBITDA'!C46</f>
        <v>0.1637459389</v>
      </c>
      <c r="D46" s="63">
        <f>'Quarterly Revenue&amp;EBITDA'!D161/'Quarterly Revenue&amp;EBITDA'!D46</f>
        <v>0.2499365933</v>
      </c>
      <c r="E46" s="63">
        <f>'Quarterly Revenue&amp;EBITDA'!E161/'Quarterly Revenue&amp;EBITDA'!E46</f>
        <v>0.3774283838</v>
      </c>
      <c r="F46" s="62"/>
      <c r="G46" s="62"/>
      <c r="H46" s="62"/>
      <c r="I46" s="62"/>
      <c r="J46" s="62"/>
      <c r="K46" s="62"/>
      <c r="L46" s="62"/>
      <c r="M46" s="62"/>
      <c r="N46" s="62"/>
      <c r="O46" s="65">
        <f>'Quarterly Revenue&amp;EBITDA'!O161/'Quarterly Revenue&amp;EBITDA'!O46</f>
        <v>0.3518812931</v>
      </c>
      <c r="P46" s="62"/>
      <c r="Q46" s="62"/>
      <c r="R46" s="62"/>
      <c r="S46" s="62"/>
      <c r="T46" s="62"/>
      <c r="U46" s="62"/>
      <c r="V46" s="63">
        <f>'Quarterly Revenue&amp;EBITDA'!V161/'Quarterly Revenue&amp;EBITDA'!V46</f>
        <v>-0.04772991851</v>
      </c>
      <c r="W46" s="63"/>
      <c r="X46" s="63">
        <f>'Quarterly Revenue&amp;EBITDA'!X161/'Quarterly Revenue&amp;EBITDA'!X46</f>
        <v>0.1161085596</v>
      </c>
      <c r="Y46" s="43"/>
      <c r="Z46" s="43"/>
      <c r="AA46" s="43"/>
      <c r="AB46" s="43"/>
      <c r="AC46" s="43"/>
      <c r="AD46" s="43"/>
    </row>
    <row r="47">
      <c r="A47" s="42" t="s">
        <v>74</v>
      </c>
      <c r="B47" s="62"/>
      <c r="C47" s="63">
        <f>'Quarterly Revenue&amp;EBITDA'!C162/'Quarterly Revenue&amp;EBITDA'!C47</f>
        <v>0.1764330122</v>
      </c>
      <c r="D47" s="63">
        <f>'Quarterly Revenue&amp;EBITDA'!D162/'Quarterly Revenue&amp;EBITDA'!D47</f>
        <v>0.2428600078</v>
      </c>
      <c r="E47" s="63">
        <f>'Quarterly Revenue&amp;EBITDA'!E162/'Quarterly Revenue&amp;EBITDA'!E47</f>
        <v>0.36068446</v>
      </c>
      <c r="F47" s="62"/>
      <c r="G47" s="62"/>
      <c r="H47" s="62"/>
      <c r="I47" s="62"/>
      <c r="J47" s="62"/>
      <c r="K47" s="62"/>
      <c r="L47" s="62"/>
      <c r="M47" s="62"/>
      <c r="N47" s="62"/>
      <c r="O47" s="65">
        <f>'Quarterly Revenue&amp;EBITDA'!O162/'Quarterly Revenue&amp;EBITDA'!O47</f>
        <v>0.3518812931</v>
      </c>
      <c r="P47" s="62"/>
      <c r="Q47" s="62"/>
      <c r="R47" s="62"/>
      <c r="S47" s="62"/>
      <c r="T47" s="62"/>
      <c r="U47" s="62"/>
      <c r="V47" s="63">
        <f>'Quarterly Revenue&amp;EBITDA'!V162/'Quarterly Revenue&amp;EBITDA'!V47</f>
        <v>-0.3459770115</v>
      </c>
      <c r="W47" s="63"/>
      <c r="X47" s="63">
        <f>'Quarterly Revenue&amp;EBITDA'!X162/'Quarterly Revenue&amp;EBITDA'!X47</f>
        <v>0.1161085596</v>
      </c>
      <c r="Y47" s="43"/>
      <c r="Z47" s="43"/>
      <c r="AA47" s="43"/>
      <c r="AB47" s="43"/>
      <c r="AC47" s="43"/>
      <c r="AD47" s="43"/>
    </row>
    <row r="48">
      <c r="A48" s="42" t="s">
        <v>75</v>
      </c>
      <c r="B48" s="62"/>
      <c r="C48" s="63">
        <f>'Quarterly Revenue&amp;EBITDA'!C163/'Quarterly Revenue&amp;EBITDA'!C48</f>
        <v>0.1764330122</v>
      </c>
      <c r="D48" s="63">
        <f>'Quarterly Revenue&amp;EBITDA'!D163/'Quarterly Revenue&amp;EBITDA'!D48</f>
        <v>0.2428600078</v>
      </c>
      <c r="E48" s="63">
        <f>'Quarterly Revenue&amp;EBITDA'!E163/'Quarterly Revenue&amp;EBITDA'!E48</f>
        <v>0.36068446</v>
      </c>
      <c r="F48" s="63"/>
      <c r="G48" s="63"/>
      <c r="H48" s="63"/>
      <c r="I48" s="63"/>
      <c r="J48" s="63">
        <f>'Quarterly Revenue&amp;EBITDA'!J163/'Quarterly Revenue&amp;EBITDA'!J48</f>
        <v>-0.1286760415</v>
      </c>
      <c r="K48" s="62"/>
      <c r="L48" s="62"/>
      <c r="M48" s="62"/>
      <c r="N48" s="62"/>
      <c r="O48" s="65">
        <f>'Quarterly Revenue&amp;EBITDA'!O163/'Quarterly Revenue&amp;EBITDA'!O48</f>
        <v>0.3518812931</v>
      </c>
      <c r="P48" s="62"/>
      <c r="Q48" s="62"/>
      <c r="R48" s="62"/>
      <c r="S48" s="62"/>
      <c r="T48" s="62"/>
      <c r="U48" s="62"/>
      <c r="V48" s="63">
        <f>'Quarterly Revenue&amp;EBITDA'!V163/'Quarterly Revenue&amp;EBITDA'!V48</f>
        <v>-0.3459770115</v>
      </c>
      <c r="W48" s="63"/>
      <c r="X48" s="63">
        <f>'Quarterly Revenue&amp;EBITDA'!X163/'Quarterly Revenue&amp;EBITDA'!X48</f>
        <v>0.1161085596</v>
      </c>
      <c r="Y48" s="43"/>
      <c r="Z48" s="43"/>
      <c r="AA48" s="43"/>
      <c r="AB48" s="43"/>
      <c r="AC48" s="43"/>
      <c r="AD48" s="43"/>
    </row>
    <row r="49">
      <c r="A49" s="42" t="s">
        <v>76</v>
      </c>
      <c r="B49" s="62"/>
      <c r="C49" s="63">
        <f>'Quarterly Revenue&amp;EBITDA'!C164/'Quarterly Revenue&amp;EBITDA'!C49</f>
        <v>0.1764330122</v>
      </c>
      <c r="D49" s="63">
        <f>'Quarterly Revenue&amp;EBITDA'!D164/'Quarterly Revenue&amp;EBITDA'!D49</f>
        <v>0.2428600078</v>
      </c>
      <c r="E49" s="63">
        <f>'Quarterly Revenue&amp;EBITDA'!E164/'Quarterly Revenue&amp;EBITDA'!E49</f>
        <v>0.36068446</v>
      </c>
      <c r="F49" s="62"/>
      <c r="G49" s="62"/>
      <c r="H49" s="62"/>
      <c r="I49" s="62"/>
      <c r="J49" s="63">
        <f>'Quarterly Revenue&amp;EBITDA'!J164/'Quarterly Revenue&amp;EBITDA'!J49</f>
        <v>-0.1286760415</v>
      </c>
      <c r="K49" s="62"/>
      <c r="L49" s="62"/>
      <c r="M49" s="62"/>
      <c r="N49" s="62"/>
      <c r="O49" s="65">
        <f>'Quarterly Revenue&amp;EBITDA'!O164/'Quarterly Revenue&amp;EBITDA'!O49</f>
        <v>0.3413488716</v>
      </c>
      <c r="P49" s="62"/>
      <c r="Q49" s="62"/>
      <c r="R49" s="62"/>
      <c r="S49" s="62"/>
      <c r="T49" s="62"/>
      <c r="U49" s="62"/>
      <c r="V49" s="63">
        <f>'Quarterly Revenue&amp;EBITDA'!V164/'Quarterly Revenue&amp;EBITDA'!V49</f>
        <v>-0.3459770115</v>
      </c>
      <c r="W49" s="63"/>
      <c r="X49" s="63">
        <f>'Quarterly Revenue&amp;EBITDA'!X164/'Quarterly Revenue&amp;EBITDA'!X49</f>
        <v>0.1644471612</v>
      </c>
      <c r="Y49" s="43"/>
      <c r="Z49" s="43"/>
      <c r="AA49" s="43"/>
      <c r="AB49" s="43"/>
      <c r="AC49" s="43"/>
      <c r="AD49" s="43"/>
    </row>
    <row r="50">
      <c r="A50" s="42" t="s">
        <v>77</v>
      </c>
      <c r="B50" s="62"/>
      <c r="C50" s="63">
        <f>'Quarterly Revenue&amp;EBITDA'!C165/'Quarterly Revenue&amp;EBITDA'!C50</f>
        <v>0.1764330122</v>
      </c>
      <c r="D50" s="63">
        <f>'Quarterly Revenue&amp;EBITDA'!D165/'Quarterly Revenue&amp;EBITDA'!D50</f>
        <v>0.2428600078</v>
      </c>
      <c r="E50" s="63">
        <f>'Quarterly Revenue&amp;EBITDA'!E165/'Quarterly Revenue&amp;EBITDA'!E50</f>
        <v>0.36068446</v>
      </c>
      <c r="F50" s="62"/>
      <c r="G50" s="62"/>
      <c r="H50" s="62"/>
      <c r="I50" s="62"/>
      <c r="J50" s="63">
        <f>'Quarterly Revenue&amp;EBITDA'!J165/'Quarterly Revenue&amp;EBITDA'!J50</f>
        <v>-0.1286760415</v>
      </c>
      <c r="K50" s="62"/>
      <c r="L50" s="62"/>
      <c r="M50" s="62"/>
      <c r="N50" s="62"/>
      <c r="O50" s="65">
        <f>'Quarterly Revenue&amp;EBITDA'!O165/'Quarterly Revenue&amp;EBITDA'!O50</f>
        <v>0.3413488716</v>
      </c>
      <c r="P50" s="62"/>
      <c r="Q50" s="62"/>
      <c r="R50" s="62"/>
      <c r="S50" s="62"/>
      <c r="T50" s="62"/>
      <c r="U50" s="62"/>
      <c r="V50" s="63">
        <f>'Quarterly Revenue&amp;EBITDA'!V165/'Quarterly Revenue&amp;EBITDA'!V50</f>
        <v>-0.3459770115</v>
      </c>
      <c r="W50" s="63"/>
      <c r="X50" s="63">
        <f>'Quarterly Revenue&amp;EBITDA'!X165/'Quarterly Revenue&amp;EBITDA'!X50</f>
        <v>0.1644471612</v>
      </c>
      <c r="Y50" s="43"/>
      <c r="Z50" s="43"/>
      <c r="AA50" s="43"/>
      <c r="AB50" s="43"/>
      <c r="AC50" s="43"/>
      <c r="AD50" s="43"/>
    </row>
    <row r="51">
      <c r="A51" s="42" t="s">
        <v>78</v>
      </c>
      <c r="B51" s="62"/>
      <c r="C51" s="63">
        <f>'Quarterly Revenue&amp;EBITDA'!C166/'Quarterly Revenue&amp;EBITDA'!C51</f>
        <v>0.2181273554</v>
      </c>
      <c r="D51" s="63">
        <f>'Quarterly Revenue&amp;EBITDA'!D166/'Quarterly Revenue&amp;EBITDA'!D51</f>
        <v>0.2250184193</v>
      </c>
      <c r="E51" s="63">
        <f>'Quarterly Revenue&amp;EBITDA'!E166/'Quarterly Revenue&amp;EBITDA'!E51</f>
        <v>0.3912034954</v>
      </c>
      <c r="F51" s="63">
        <f>'Quarterly Revenue&amp;EBITDA'!F166/'Quarterly Revenue&amp;EBITDA'!F51</f>
        <v>0.5433682961</v>
      </c>
      <c r="G51" s="62"/>
      <c r="H51" s="62"/>
      <c r="I51" s="62"/>
      <c r="J51" s="63">
        <f>'Quarterly Revenue&amp;EBITDA'!J166/'Quarterly Revenue&amp;EBITDA'!J51</f>
        <v>-0.1286760415</v>
      </c>
      <c r="K51" s="62"/>
      <c r="L51" s="62"/>
      <c r="M51" s="62"/>
      <c r="N51" s="62"/>
      <c r="O51" s="65">
        <f>'Quarterly Revenue&amp;EBITDA'!O166/'Quarterly Revenue&amp;EBITDA'!O51</f>
        <v>0.3413488716</v>
      </c>
      <c r="P51" s="62"/>
      <c r="Q51" s="62"/>
      <c r="R51" s="62"/>
      <c r="S51" s="62"/>
      <c r="T51" s="62"/>
      <c r="U51" s="62"/>
      <c r="V51" s="63">
        <f>'Quarterly Revenue&amp;EBITDA'!V166/'Quarterly Revenue&amp;EBITDA'!V51</f>
        <v>-0.4444444444</v>
      </c>
      <c r="W51" s="63"/>
      <c r="X51" s="63">
        <f>'Quarterly Revenue&amp;EBITDA'!X166/'Quarterly Revenue&amp;EBITDA'!X51</f>
        <v>0.1644471612</v>
      </c>
      <c r="Y51" s="43"/>
      <c r="Z51" s="43"/>
      <c r="AA51" s="43"/>
      <c r="AB51" s="43"/>
      <c r="AC51" s="43"/>
      <c r="AD51" s="43"/>
    </row>
    <row r="52">
      <c r="A52" s="42" t="s">
        <v>79</v>
      </c>
      <c r="B52" s="62"/>
      <c r="C52" s="63">
        <f>'Quarterly Revenue&amp;EBITDA'!C167/'Quarterly Revenue&amp;EBITDA'!C52</f>
        <v>0.2181273554</v>
      </c>
      <c r="D52" s="63">
        <f>'Quarterly Revenue&amp;EBITDA'!D167/'Quarterly Revenue&amp;EBITDA'!D52</f>
        <v>0.2250184193</v>
      </c>
      <c r="E52" s="63">
        <f>'Quarterly Revenue&amp;EBITDA'!E167/'Quarterly Revenue&amp;EBITDA'!E52</f>
        <v>0.3912034954</v>
      </c>
      <c r="F52" s="63">
        <f>'Quarterly Revenue&amp;EBITDA'!F167/'Quarterly Revenue&amp;EBITDA'!F52</f>
        <v>0.5433682961</v>
      </c>
      <c r="G52" s="62"/>
      <c r="H52" s="62"/>
      <c r="I52" s="62"/>
      <c r="J52" s="63">
        <f>'Quarterly Revenue&amp;EBITDA'!J167/'Quarterly Revenue&amp;EBITDA'!J52</f>
        <v>-0.05282431786</v>
      </c>
      <c r="K52" s="62"/>
      <c r="L52" s="62"/>
      <c r="M52" s="62"/>
      <c r="N52" s="62"/>
      <c r="O52" s="65">
        <f>'Quarterly Revenue&amp;EBITDA'!O167/'Quarterly Revenue&amp;EBITDA'!O52</f>
        <v>0.3413488716</v>
      </c>
      <c r="P52" s="62"/>
      <c r="Q52" s="62"/>
      <c r="R52" s="62"/>
      <c r="S52" s="62"/>
      <c r="T52" s="62"/>
      <c r="U52" s="62"/>
      <c r="V52" s="63">
        <f>'Quarterly Revenue&amp;EBITDA'!V167/'Quarterly Revenue&amp;EBITDA'!V52</f>
        <v>-0.4444444444</v>
      </c>
      <c r="W52" s="63"/>
      <c r="X52" s="63">
        <f>'Quarterly Revenue&amp;EBITDA'!X167/'Quarterly Revenue&amp;EBITDA'!X52</f>
        <v>0.1644471612</v>
      </c>
      <c r="Y52" s="43"/>
      <c r="Z52" s="43"/>
      <c r="AA52" s="43"/>
      <c r="AB52" s="43"/>
      <c r="AC52" s="43"/>
      <c r="AD52" s="43"/>
    </row>
    <row r="53">
      <c r="A53" s="42" t="s">
        <v>80</v>
      </c>
      <c r="B53" s="62"/>
      <c r="C53" s="63">
        <f>'Quarterly Revenue&amp;EBITDA'!C168/'Quarterly Revenue&amp;EBITDA'!C53</f>
        <v>0.2181273554</v>
      </c>
      <c r="D53" s="63">
        <f>'Quarterly Revenue&amp;EBITDA'!D168/'Quarterly Revenue&amp;EBITDA'!D53</f>
        <v>0.2250184193</v>
      </c>
      <c r="E53" s="63">
        <f>'Quarterly Revenue&amp;EBITDA'!E168/'Quarterly Revenue&amp;EBITDA'!E53</f>
        <v>0.3912034954</v>
      </c>
      <c r="F53" s="63">
        <f>'Quarterly Revenue&amp;EBITDA'!F168/'Quarterly Revenue&amp;EBITDA'!F53</f>
        <v>0.5433682961</v>
      </c>
      <c r="G53" s="62"/>
      <c r="H53" s="62"/>
      <c r="I53" s="62"/>
      <c r="J53" s="63">
        <f>'Quarterly Revenue&amp;EBITDA'!J168/'Quarterly Revenue&amp;EBITDA'!J53</f>
        <v>-0.05282431786</v>
      </c>
      <c r="K53" s="62"/>
      <c r="L53" s="62"/>
      <c r="M53" s="62"/>
      <c r="N53" s="62"/>
      <c r="O53" s="65">
        <f>'Quarterly Revenue&amp;EBITDA'!O168/'Quarterly Revenue&amp;EBITDA'!O53</f>
        <v>0.3522888826</v>
      </c>
      <c r="P53" s="62"/>
      <c r="Q53" s="62"/>
      <c r="R53" s="62"/>
      <c r="S53" s="62"/>
      <c r="T53" s="62"/>
      <c r="U53" s="62"/>
      <c r="V53" s="63">
        <f>'Quarterly Revenue&amp;EBITDA'!V168/'Quarterly Revenue&amp;EBITDA'!V53</f>
        <v>-0.4444444444</v>
      </c>
      <c r="W53" s="63"/>
      <c r="X53" s="63">
        <f>'Quarterly Revenue&amp;EBITDA'!X168/'Quarterly Revenue&amp;EBITDA'!X53</f>
        <v>0.06150596719</v>
      </c>
      <c r="Y53" s="43"/>
      <c r="Z53" s="43"/>
      <c r="AA53" s="43"/>
      <c r="AB53" s="43"/>
      <c r="AC53" s="43"/>
      <c r="AD53" s="43"/>
    </row>
    <row r="54">
      <c r="A54" s="42" t="s">
        <v>81</v>
      </c>
      <c r="B54" s="62"/>
      <c r="C54" s="63">
        <f>'Quarterly Revenue&amp;EBITDA'!C169/'Quarterly Revenue&amp;EBITDA'!C54</f>
        <v>0.2181273554</v>
      </c>
      <c r="D54" s="63">
        <f>'Quarterly Revenue&amp;EBITDA'!D169/'Quarterly Revenue&amp;EBITDA'!D54</f>
        <v>0.2250184193</v>
      </c>
      <c r="E54" s="63">
        <f>'Quarterly Revenue&amp;EBITDA'!E169/'Quarterly Revenue&amp;EBITDA'!E54</f>
        <v>0.3912034954</v>
      </c>
      <c r="F54" s="63">
        <f>'Quarterly Revenue&amp;EBITDA'!F169/'Quarterly Revenue&amp;EBITDA'!F54</f>
        <v>0.5433682961</v>
      </c>
      <c r="G54" s="62"/>
      <c r="H54" s="62"/>
      <c r="I54" s="62"/>
      <c r="J54" s="63">
        <f>'Quarterly Revenue&amp;EBITDA'!J169/'Quarterly Revenue&amp;EBITDA'!J54</f>
        <v>-0.05282431786</v>
      </c>
      <c r="K54" s="62"/>
      <c r="L54" s="62"/>
      <c r="M54" s="62"/>
      <c r="N54" s="62"/>
      <c r="O54" s="65">
        <f>'Quarterly Revenue&amp;EBITDA'!O169/'Quarterly Revenue&amp;EBITDA'!O54</f>
        <v>0.3522888826</v>
      </c>
      <c r="P54" s="62"/>
      <c r="Q54" s="62"/>
      <c r="R54" s="62"/>
      <c r="S54" s="62"/>
      <c r="T54" s="62"/>
      <c r="U54" s="62"/>
      <c r="V54" s="63">
        <f>'Quarterly Revenue&amp;EBITDA'!V169/'Quarterly Revenue&amp;EBITDA'!V54</f>
        <v>-0.4444444444</v>
      </c>
      <c r="W54" s="63"/>
      <c r="X54" s="63">
        <f>'Quarterly Revenue&amp;EBITDA'!X169/'Quarterly Revenue&amp;EBITDA'!X54</f>
        <v>0.06150596719</v>
      </c>
      <c r="Y54" s="43"/>
      <c r="Z54" s="43"/>
      <c r="AA54" s="43"/>
      <c r="AB54" s="43"/>
      <c r="AC54" s="43"/>
      <c r="AD54" s="43"/>
    </row>
    <row r="55">
      <c r="A55" s="42" t="s">
        <v>82</v>
      </c>
      <c r="B55" s="62"/>
      <c r="C55" s="63">
        <f>'Quarterly Revenue&amp;EBITDA'!C170/'Quarterly Revenue&amp;EBITDA'!C55</f>
        <v>0.2714057645</v>
      </c>
      <c r="D55" s="63">
        <f>'Quarterly Revenue&amp;EBITDA'!D170/'Quarterly Revenue&amp;EBITDA'!D55</f>
        <v>0.2147660652</v>
      </c>
      <c r="E55" s="63">
        <f>'Quarterly Revenue&amp;EBITDA'!E170/'Quarterly Revenue&amp;EBITDA'!E55</f>
        <v>0.4113346415</v>
      </c>
      <c r="F55" s="63">
        <f>'Quarterly Revenue&amp;EBITDA'!F170/'Quarterly Revenue&amp;EBITDA'!F55</f>
        <v>0.5236518204</v>
      </c>
      <c r="G55" s="62"/>
      <c r="H55" s="62"/>
      <c r="I55" s="62"/>
      <c r="J55" s="63">
        <f>'Quarterly Revenue&amp;EBITDA'!J170/'Quarterly Revenue&amp;EBITDA'!J55</f>
        <v>-0.05282431786</v>
      </c>
      <c r="K55" s="62"/>
      <c r="L55" s="62"/>
      <c r="M55" s="62"/>
      <c r="N55" s="62"/>
      <c r="O55" s="65">
        <f>'Quarterly Revenue&amp;EBITDA'!O170/'Quarterly Revenue&amp;EBITDA'!O55</f>
        <v>0.3522888826</v>
      </c>
      <c r="P55" s="62"/>
      <c r="Q55" s="62"/>
      <c r="R55" s="62"/>
      <c r="S55" s="62"/>
      <c r="T55" s="62"/>
      <c r="U55" s="62"/>
      <c r="V55" s="63">
        <f>'Quarterly Revenue&amp;EBITDA'!V170/'Quarterly Revenue&amp;EBITDA'!V55</f>
        <v>-0.07373855921</v>
      </c>
      <c r="W55" s="63"/>
      <c r="X55" s="63">
        <f>'Quarterly Revenue&amp;EBITDA'!X170/'Quarterly Revenue&amp;EBITDA'!X55</f>
        <v>0.06150596719</v>
      </c>
      <c r="Y55" s="43"/>
      <c r="Z55" s="43"/>
      <c r="AA55" s="43"/>
      <c r="AB55" s="43"/>
      <c r="AC55" s="43"/>
      <c r="AD55" s="43"/>
    </row>
    <row r="56">
      <c r="A56" s="42" t="s">
        <v>83</v>
      </c>
      <c r="B56" s="62"/>
      <c r="C56" s="63">
        <f>'Quarterly Revenue&amp;EBITDA'!C171/'Quarterly Revenue&amp;EBITDA'!C56</f>
        <v>0.2714057645</v>
      </c>
      <c r="D56" s="63">
        <f>'Quarterly Revenue&amp;EBITDA'!D171/'Quarterly Revenue&amp;EBITDA'!D56</f>
        <v>0.2147660652</v>
      </c>
      <c r="E56" s="63">
        <f>'Quarterly Revenue&amp;EBITDA'!E171/'Quarterly Revenue&amp;EBITDA'!E56</f>
        <v>0.4113346415</v>
      </c>
      <c r="F56" s="63">
        <f>'Quarterly Revenue&amp;EBITDA'!F171/'Quarterly Revenue&amp;EBITDA'!F56</f>
        <v>0.5236518204</v>
      </c>
      <c r="G56" s="62"/>
      <c r="H56" s="62"/>
      <c r="I56" s="62"/>
      <c r="J56" s="63">
        <f>'Quarterly Revenue&amp;EBITDA'!J171/'Quarterly Revenue&amp;EBITDA'!J56</f>
        <v>0.04856439573</v>
      </c>
      <c r="K56" s="62"/>
      <c r="L56" s="62"/>
      <c r="M56" s="62"/>
      <c r="N56" s="62"/>
      <c r="O56" s="65">
        <f>'Quarterly Revenue&amp;EBITDA'!O171/'Quarterly Revenue&amp;EBITDA'!O56</f>
        <v>0.3522888826</v>
      </c>
      <c r="P56" s="62"/>
      <c r="Q56" s="62"/>
      <c r="R56" s="62"/>
      <c r="S56" s="62"/>
      <c r="T56" s="62"/>
      <c r="U56" s="62"/>
      <c r="V56" s="63">
        <f>'Quarterly Revenue&amp;EBITDA'!V171/'Quarterly Revenue&amp;EBITDA'!V56</f>
        <v>-0.07373855921</v>
      </c>
      <c r="W56" s="63"/>
      <c r="X56" s="63">
        <f>'Quarterly Revenue&amp;EBITDA'!X171/'Quarterly Revenue&amp;EBITDA'!X56</f>
        <v>0.06150596719</v>
      </c>
      <c r="Y56" s="43"/>
      <c r="Z56" s="43"/>
      <c r="AA56" s="43"/>
      <c r="AB56" s="43"/>
      <c r="AC56" s="43"/>
      <c r="AD56" s="43"/>
    </row>
    <row r="57">
      <c r="A57" s="42" t="s">
        <v>84</v>
      </c>
      <c r="B57" s="62"/>
      <c r="C57" s="63">
        <f>'Quarterly Revenue&amp;EBITDA'!C172/'Quarterly Revenue&amp;EBITDA'!C57</f>
        <v>0.2714057645</v>
      </c>
      <c r="D57" s="63">
        <f>'Quarterly Revenue&amp;EBITDA'!D172/'Quarterly Revenue&amp;EBITDA'!D57</f>
        <v>0.2147660652</v>
      </c>
      <c r="E57" s="63">
        <f>'Quarterly Revenue&amp;EBITDA'!E172/'Quarterly Revenue&amp;EBITDA'!E57</f>
        <v>0.4113346415</v>
      </c>
      <c r="F57" s="63">
        <f>'Quarterly Revenue&amp;EBITDA'!F172/'Quarterly Revenue&amp;EBITDA'!F57</f>
        <v>0.5236518204</v>
      </c>
      <c r="G57" s="62"/>
      <c r="H57" s="62"/>
      <c r="I57" s="62"/>
      <c r="J57" s="63">
        <f>'Quarterly Revenue&amp;EBITDA'!J172/'Quarterly Revenue&amp;EBITDA'!J57</f>
        <v>0.04856439573</v>
      </c>
      <c r="K57" s="62"/>
      <c r="L57" s="62"/>
      <c r="M57" s="62"/>
      <c r="N57" s="62"/>
      <c r="O57" s="65">
        <f>'Quarterly Revenue&amp;EBITDA'!O172/'Quarterly Revenue&amp;EBITDA'!O57</f>
        <v>0.3135397511</v>
      </c>
      <c r="P57" s="62"/>
      <c r="Q57" s="62"/>
      <c r="R57" s="62"/>
      <c r="S57" s="62"/>
      <c r="T57" s="62"/>
      <c r="U57" s="62"/>
      <c r="V57" s="63">
        <f>'Quarterly Revenue&amp;EBITDA'!V172/'Quarterly Revenue&amp;EBITDA'!V57</f>
        <v>-0.07373855921</v>
      </c>
      <c r="W57" s="63"/>
      <c r="X57" s="63">
        <f>'Quarterly Revenue&amp;EBITDA'!X172/'Quarterly Revenue&amp;EBITDA'!X57</f>
        <v>0.1110507652</v>
      </c>
      <c r="Y57" s="43"/>
      <c r="Z57" s="43"/>
      <c r="AA57" s="43"/>
      <c r="AB57" s="43"/>
      <c r="AC57" s="43"/>
      <c r="AD57" s="43"/>
    </row>
    <row r="58">
      <c r="A58" s="42" t="s">
        <v>85</v>
      </c>
      <c r="B58" s="62"/>
      <c r="C58" s="63">
        <f>'Quarterly Revenue&amp;EBITDA'!C173/'Quarterly Revenue&amp;EBITDA'!C58</f>
        <v>0.2714057645</v>
      </c>
      <c r="D58" s="63">
        <f>'Quarterly Revenue&amp;EBITDA'!D173/'Quarterly Revenue&amp;EBITDA'!D58</f>
        <v>0.2147660652</v>
      </c>
      <c r="E58" s="63">
        <f>'Quarterly Revenue&amp;EBITDA'!E173/'Quarterly Revenue&amp;EBITDA'!E58</f>
        <v>0.4113346415</v>
      </c>
      <c r="F58" s="63">
        <f>'Quarterly Revenue&amp;EBITDA'!F173/'Quarterly Revenue&amp;EBITDA'!F58</f>
        <v>0.5236518204</v>
      </c>
      <c r="G58" s="62"/>
      <c r="H58" s="62"/>
      <c r="I58" s="62"/>
      <c r="J58" s="63">
        <f>'Quarterly Revenue&amp;EBITDA'!J173/'Quarterly Revenue&amp;EBITDA'!J58</f>
        <v>0.04856439573</v>
      </c>
      <c r="K58" s="62"/>
      <c r="L58" s="62"/>
      <c r="M58" s="62"/>
      <c r="N58" s="62"/>
      <c r="O58" s="65">
        <f>'Quarterly Revenue&amp;EBITDA'!O173/'Quarterly Revenue&amp;EBITDA'!O58</f>
        <v>0.3135397511</v>
      </c>
      <c r="P58" s="62"/>
      <c r="Q58" s="62"/>
      <c r="R58" s="62"/>
      <c r="S58" s="62"/>
      <c r="T58" s="62"/>
      <c r="U58" s="62"/>
      <c r="V58" s="63">
        <f>'Quarterly Revenue&amp;EBITDA'!V173/'Quarterly Revenue&amp;EBITDA'!V58</f>
        <v>-0.07373855921</v>
      </c>
      <c r="W58" s="63"/>
      <c r="X58" s="63">
        <f>'Quarterly Revenue&amp;EBITDA'!X173/'Quarterly Revenue&amp;EBITDA'!X58</f>
        <v>0.1110507652</v>
      </c>
      <c r="Y58" s="43"/>
      <c r="Z58" s="43"/>
      <c r="AA58" s="43"/>
      <c r="AB58" s="43"/>
      <c r="AC58" s="43"/>
      <c r="AD58" s="43"/>
    </row>
    <row r="59">
      <c r="A59" s="42" t="s">
        <v>86</v>
      </c>
      <c r="B59" s="62"/>
      <c r="C59" s="63">
        <f>'Quarterly Revenue&amp;EBITDA'!C174/'Quarterly Revenue&amp;EBITDA'!C59</f>
        <v>0.3335344533</v>
      </c>
      <c r="D59" s="63">
        <f>'Quarterly Revenue&amp;EBITDA'!D174/'Quarterly Revenue&amp;EBITDA'!D59</f>
        <v>0.1900250188</v>
      </c>
      <c r="E59" s="63">
        <f>'Quarterly Revenue&amp;EBITDA'!E174/'Quarterly Revenue&amp;EBITDA'!E59</f>
        <v>0.3522114178</v>
      </c>
      <c r="F59" s="63">
        <f>'Quarterly Revenue&amp;EBITDA'!F174/'Quarterly Revenue&amp;EBITDA'!F59</f>
        <v>0.4796605673</v>
      </c>
      <c r="G59" s="62"/>
      <c r="H59" s="62"/>
      <c r="I59" s="62"/>
      <c r="J59" s="63">
        <f>'Quarterly Revenue&amp;EBITDA'!J174/'Quarterly Revenue&amp;EBITDA'!J59</f>
        <v>0.04856439573</v>
      </c>
      <c r="K59" s="62"/>
      <c r="L59" s="62"/>
      <c r="M59" s="62"/>
      <c r="N59" s="62"/>
      <c r="O59" s="65">
        <f>'Quarterly Revenue&amp;EBITDA'!O174/'Quarterly Revenue&amp;EBITDA'!O59</f>
        <v>0.3135397511</v>
      </c>
      <c r="P59" s="62"/>
      <c r="Q59" s="62"/>
      <c r="R59" s="62"/>
      <c r="S59" s="62"/>
      <c r="T59" s="62"/>
      <c r="U59" s="62"/>
      <c r="V59" s="63">
        <f>'Quarterly Revenue&amp;EBITDA'!V174/'Quarterly Revenue&amp;EBITDA'!V59</f>
        <v>-0.04587799989</v>
      </c>
      <c r="W59" s="63"/>
      <c r="X59" s="63">
        <f>'Quarterly Revenue&amp;EBITDA'!X174/'Quarterly Revenue&amp;EBITDA'!X59</f>
        <v>0.1110507652</v>
      </c>
      <c r="Y59" s="43"/>
      <c r="Z59" s="43"/>
      <c r="AA59" s="43"/>
      <c r="AB59" s="43"/>
      <c r="AC59" s="43"/>
      <c r="AD59" s="43"/>
    </row>
    <row r="60">
      <c r="A60" s="42" t="s">
        <v>87</v>
      </c>
      <c r="B60" s="62"/>
      <c r="C60" s="63">
        <f>'Quarterly Revenue&amp;EBITDA'!C175/'Quarterly Revenue&amp;EBITDA'!C60</f>
        <v>0.3335344533</v>
      </c>
      <c r="D60" s="63">
        <f>'Quarterly Revenue&amp;EBITDA'!D175/'Quarterly Revenue&amp;EBITDA'!D60</f>
        <v>0.1900250188</v>
      </c>
      <c r="E60" s="63">
        <f>'Quarterly Revenue&amp;EBITDA'!E175/'Quarterly Revenue&amp;EBITDA'!E60</f>
        <v>0.3522114178</v>
      </c>
      <c r="F60" s="63">
        <f>'Quarterly Revenue&amp;EBITDA'!F175/'Quarterly Revenue&amp;EBITDA'!F60</f>
        <v>0.4796605673</v>
      </c>
      <c r="G60" s="63"/>
      <c r="H60" s="63">
        <f>'Quarterly Revenue&amp;EBITDA'!H175/'Quarterly Revenue&amp;EBITDA'!H60</f>
        <v>0.2123570757</v>
      </c>
      <c r="I60" s="62"/>
      <c r="J60" s="63">
        <f>'Quarterly Revenue&amp;EBITDA'!J175/'Quarterly Revenue&amp;EBITDA'!J60</f>
        <v>0.03492388059</v>
      </c>
      <c r="K60" s="62"/>
      <c r="L60" s="62"/>
      <c r="M60" s="62"/>
      <c r="N60" s="62"/>
      <c r="O60" s="65">
        <f>'Quarterly Revenue&amp;EBITDA'!O175/'Quarterly Revenue&amp;EBITDA'!O60</f>
        <v>0.3135397511</v>
      </c>
      <c r="P60" s="62"/>
      <c r="Q60" s="62"/>
      <c r="R60" s="62"/>
      <c r="S60" s="62"/>
      <c r="T60" s="62"/>
      <c r="U60" s="62"/>
      <c r="V60" s="63">
        <f>'Quarterly Revenue&amp;EBITDA'!V175/'Quarterly Revenue&amp;EBITDA'!V60</f>
        <v>-0.04587799989</v>
      </c>
      <c r="W60" s="63"/>
      <c r="X60" s="63">
        <f>'Quarterly Revenue&amp;EBITDA'!X175/'Quarterly Revenue&amp;EBITDA'!X60</f>
        <v>0.1110507652</v>
      </c>
      <c r="Y60" s="43"/>
      <c r="Z60" s="43"/>
      <c r="AA60" s="43"/>
      <c r="AB60" s="43"/>
      <c r="AC60" s="43"/>
      <c r="AD60" s="43"/>
    </row>
    <row r="61">
      <c r="A61" s="42" t="s">
        <v>88</v>
      </c>
      <c r="B61" s="62"/>
      <c r="C61" s="63">
        <f>'Quarterly Revenue&amp;EBITDA'!C176/'Quarterly Revenue&amp;EBITDA'!C61</f>
        <v>0.3335344533</v>
      </c>
      <c r="D61" s="63">
        <f>'Quarterly Revenue&amp;EBITDA'!D176/'Quarterly Revenue&amp;EBITDA'!D61</f>
        <v>0.1900250188</v>
      </c>
      <c r="E61" s="63">
        <f>'Quarterly Revenue&amp;EBITDA'!E176/'Quarterly Revenue&amp;EBITDA'!E61</f>
        <v>0.3522114178</v>
      </c>
      <c r="F61" s="63">
        <f>'Quarterly Revenue&amp;EBITDA'!F176/'Quarterly Revenue&amp;EBITDA'!F61</f>
        <v>0.4796605673</v>
      </c>
      <c r="G61" s="62"/>
      <c r="H61" s="63">
        <f>'Quarterly Revenue&amp;EBITDA'!H176/'Quarterly Revenue&amp;EBITDA'!H61</f>
        <v>0.2123570757</v>
      </c>
      <c r="I61" s="62"/>
      <c r="J61" s="63">
        <f>'Quarterly Revenue&amp;EBITDA'!J176/'Quarterly Revenue&amp;EBITDA'!J61</f>
        <v>0.03492388059</v>
      </c>
      <c r="K61" s="62"/>
      <c r="L61" s="62"/>
      <c r="M61" s="62"/>
      <c r="N61" s="62"/>
      <c r="O61" s="65">
        <f>'Quarterly Revenue&amp;EBITDA'!O176/'Quarterly Revenue&amp;EBITDA'!O61</f>
        <v>0.315994555</v>
      </c>
      <c r="P61" s="62"/>
      <c r="Q61" s="62"/>
      <c r="R61" s="62"/>
      <c r="S61" s="62"/>
      <c r="T61" s="62"/>
      <c r="U61" s="62"/>
      <c r="V61" s="63">
        <f>'Quarterly Revenue&amp;EBITDA'!V176/'Quarterly Revenue&amp;EBITDA'!V61</f>
        <v>-0.04587799989</v>
      </c>
      <c r="W61" s="63"/>
      <c r="X61" s="63">
        <f>'Quarterly Revenue&amp;EBITDA'!X176/'Quarterly Revenue&amp;EBITDA'!X61</f>
        <v>0.1700371689</v>
      </c>
      <c r="Y61" s="43"/>
      <c r="Z61" s="43"/>
      <c r="AA61" s="43"/>
      <c r="AB61" s="43"/>
      <c r="AC61" s="43"/>
      <c r="AD61" s="43"/>
    </row>
    <row r="62">
      <c r="A62" s="42" t="s">
        <v>89</v>
      </c>
      <c r="B62" s="62"/>
      <c r="C62" s="63">
        <f>'Quarterly Revenue&amp;EBITDA'!C177/'Quarterly Revenue&amp;EBITDA'!C62</f>
        <v>0.3335344533</v>
      </c>
      <c r="D62" s="63">
        <f>'Quarterly Revenue&amp;EBITDA'!D177/'Quarterly Revenue&amp;EBITDA'!D62</f>
        <v>0.1900250188</v>
      </c>
      <c r="E62" s="63">
        <f>'Quarterly Revenue&amp;EBITDA'!E177/'Quarterly Revenue&amp;EBITDA'!E62</f>
        <v>0.3522114178</v>
      </c>
      <c r="F62" s="63">
        <f>'Quarterly Revenue&amp;EBITDA'!F177/'Quarterly Revenue&amp;EBITDA'!F62</f>
        <v>0.4796605673</v>
      </c>
      <c r="G62" s="62"/>
      <c r="H62" s="63">
        <f>'Quarterly Revenue&amp;EBITDA'!H177/'Quarterly Revenue&amp;EBITDA'!H62</f>
        <v>0.2123570757</v>
      </c>
      <c r="I62" s="62"/>
      <c r="J62" s="63">
        <f>'Quarterly Revenue&amp;EBITDA'!J177/'Quarterly Revenue&amp;EBITDA'!J62</f>
        <v>0.03492388059</v>
      </c>
      <c r="K62" s="62"/>
      <c r="L62" s="62"/>
      <c r="M62" s="62"/>
      <c r="N62" s="62"/>
      <c r="O62" s="65">
        <f>'Quarterly Revenue&amp;EBITDA'!O177/'Quarterly Revenue&amp;EBITDA'!O62</f>
        <v>0.315994555</v>
      </c>
      <c r="P62" s="62"/>
      <c r="Q62" s="62"/>
      <c r="R62" s="62"/>
      <c r="S62" s="62"/>
      <c r="T62" s="62"/>
      <c r="U62" s="62"/>
      <c r="V62" s="63">
        <f>'Quarterly Revenue&amp;EBITDA'!V177/'Quarterly Revenue&amp;EBITDA'!V62</f>
        <v>-0.04587799989</v>
      </c>
      <c r="W62" s="63"/>
      <c r="X62" s="63">
        <f>'Quarterly Revenue&amp;EBITDA'!X177/'Quarterly Revenue&amp;EBITDA'!X62</f>
        <v>0.1700371689</v>
      </c>
      <c r="Y62" s="43"/>
      <c r="Z62" s="43"/>
      <c r="AA62" s="43"/>
      <c r="AB62" s="43"/>
      <c r="AC62" s="43"/>
      <c r="AD62" s="43"/>
    </row>
    <row r="63">
      <c r="A63" s="42" t="s">
        <v>90</v>
      </c>
      <c r="B63" s="62"/>
      <c r="C63" s="63">
        <f>'Quarterly Revenue&amp;EBITDA'!C178/'Quarterly Revenue&amp;EBITDA'!C63</f>
        <v>0.3601881483</v>
      </c>
      <c r="D63" s="63">
        <f>'Quarterly Revenue&amp;EBITDA'!D178/'Quarterly Revenue&amp;EBITDA'!D63</f>
        <v>0.1847734203</v>
      </c>
      <c r="E63" s="63">
        <f>'Quarterly Revenue&amp;EBITDA'!E178/'Quarterly Revenue&amp;EBITDA'!E63</f>
        <v>0.2060806649</v>
      </c>
      <c r="F63" s="63">
        <f>'Quarterly Revenue&amp;EBITDA'!F178/'Quarterly Revenue&amp;EBITDA'!F63</f>
        <v>0.4220183486</v>
      </c>
      <c r="G63" s="62"/>
      <c r="H63" s="63">
        <f>'Quarterly Revenue&amp;EBITDA'!H178/'Quarterly Revenue&amp;EBITDA'!H63</f>
        <v>0.2123570757</v>
      </c>
      <c r="I63" s="62"/>
      <c r="J63" s="63">
        <f>'Quarterly Revenue&amp;EBITDA'!J178/'Quarterly Revenue&amp;EBITDA'!J63</f>
        <v>0.03492388059</v>
      </c>
      <c r="K63" s="62"/>
      <c r="L63" s="62"/>
      <c r="M63" s="62"/>
      <c r="N63" s="62"/>
      <c r="O63" s="65">
        <f>'Quarterly Revenue&amp;EBITDA'!O178/'Quarterly Revenue&amp;EBITDA'!O63</f>
        <v>0.315994555</v>
      </c>
      <c r="P63" s="63"/>
      <c r="Q63" s="63"/>
      <c r="R63" s="63"/>
      <c r="S63" s="63">
        <f>'Quarterly Revenue&amp;EBITDA'!S178/'Quarterly Revenue&amp;EBITDA'!S63</f>
        <v>0.1508370293</v>
      </c>
      <c r="T63" s="62"/>
      <c r="U63" s="62"/>
      <c r="V63" s="63">
        <f>'Quarterly Revenue&amp;EBITDA'!V178/'Quarterly Revenue&amp;EBITDA'!V63</f>
        <v>-0.383367403</v>
      </c>
      <c r="W63" s="63"/>
      <c r="X63" s="63">
        <f>'Quarterly Revenue&amp;EBITDA'!X178/'Quarterly Revenue&amp;EBITDA'!X63</f>
        <v>0.1700371689</v>
      </c>
      <c r="Y63" s="63"/>
      <c r="Z63" s="63"/>
      <c r="AA63" s="63"/>
      <c r="AB63" s="63"/>
      <c r="AC63" s="63"/>
      <c r="AD63" s="43"/>
    </row>
    <row r="64">
      <c r="A64" s="42" t="s">
        <v>91</v>
      </c>
      <c r="B64" s="62"/>
      <c r="C64" s="63">
        <f>'Quarterly Revenue&amp;EBITDA'!C179/'Quarterly Revenue&amp;EBITDA'!C64</f>
        <v>0.3601881483</v>
      </c>
      <c r="D64" s="63">
        <f>'Quarterly Revenue&amp;EBITDA'!D179/'Quarterly Revenue&amp;EBITDA'!D64</f>
        <v>0.1847734203</v>
      </c>
      <c r="E64" s="63">
        <f>'Quarterly Revenue&amp;EBITDA'!E179/'Quarterly Revenue&amp;EBITDA'!E64</f>
        <v>0.2060806649</v>
      </c>
      <c r="F64" s="63">
        <f>'Quarterly Revenue&amp;EBITDA'!F179/'Quarterly Revenue&amp;EBITDA'!F64</f>
        <v>0.4220183486</v>
      </c>
      <c r="G64" s="62"/>
      <c r="H64" s="63">
        <f>'Quarterly Revenue&amp;EBITDA'!H179/'Quarterly Revenue&amp;EBITDA'!H64</f>
        <v>0.2093677685</v>
      </c>
      <c r="I64" s="62"/>
      <c r="J64" s="63">
        <f>'Quarterly Revenue&amp;EBITDA'!J179/'Quarterly Revenue&amp;EBITDA'!J64</f>
        <v>-0.0622274082</v>
      </c>
      <c r="K64" s="62"/>
      <c r="L64" s="62"/>
      <c r="M64" s="62"/>
      <c r="N64" s="62"/>
      <c r="O64" s="65">
        <f>'Quarterly Revenue&amp;EBITDA'!O179/'Quarterly Revenue&amp;EBITDA'!O64</f>
        <v>0.315994555</v>
      </c>
      <c r="P64" s="62"/>
      <c r="Q64" s="62"/>
      <c r="R64" s="63"/>
      <c r="S64" s="63">
        <f>'Quarterly Revenue&amp;EBITDA'!S179/'Quarterly Revenue&amp;EBITDA'!S64</f>
        <v>0.1508370293</v>
      </c>
      <c r="T64" s="62"/>
      <c r="U64" s="62"/>
      <c r="V64" s="63">
        <f>'Quarterly Revenue&amp;EBITDA'!V179/'Quarterly Revenue&amp;EBITDA'!V64</f>
        <v>-0.383367403</v>
      </c>
      <c r="W64" s="63"/>
      <c r="X64" s="63">
        <f>'Quarterly Revenue&amp;EBITDA'!X179/'Quarterly Revenue&amp;EBITDA'!X64</f>
        <v>0.1700371689</v>
      </c>
      <c r="Y64" s="63"/>
      <c r="Z64" s="63"/>
      <c r="AA64" s="63"/>
      <c r="AB64" s="63"/>
      <c r="AC64" s="63"/>
      <c r="AD64" s="43"/>
    </row>
    <row r="65">
      <c r="A65" s="42" t="s">
        <v>92</v>
      </c>
      <c r="B65" s="62"/>
      <c r="C65" s="63">
        <f>'Quarterly Revenue&amp;EBITDA'!C180/'Quarterly Revenue&amp;EBITDA'!C65</f>
        <v>0.3601881483</v>
      </c>
      <c r="D65" s="63">
        <f>'Quarterly Revenue&amp;EBITDA'!D180/'Quarterly Revenue&amp;EBITDA'!D65</f>
        <v>0.1847734203</v>
      </c>
      <c r="E65" s="63">
        <f>'Quarterly Revenue&amp;EBITDA'!E180/'Quarterly Revenue&amp;EBITDA'!E65</f>
        <v>0.2060806649</v>
      </c>
      <c r="F65" s="63">
        <f>'Quarterly Revenue&amp;EBITDA'!F180/'Quarterly Revenue&amp;EBITDA'!F65</f>
        <v>0.4220183486</v>
      </c>
      <c r="G65" s="62"/>
      <c r="H65" s="63">
        <f>'Quarterly Revenue&amp;EBITDA'!H180/'Quarterly Revenue&amp;EBITDA'!H65</f>
        <v>0.2093677685</v>
      </c>
      <c r="I65" s="62"/>
      <c r="J65" s="63">
        <f>'Quarterly Revenue&amp;EBITDA'!J180/'Quarterly Revenue&amp;EBITDA'!J65</f>
        <v>-0.0622274082</v>
      </c>
      <c r="K65" s="62"/>
      <c r="L65" s="62"/>
      <c r="M65" s="62"/>
      <c r="N65" s="62"/>
      <c r="O65" s="65">
        <f>'Quarterly Revenue&amp;EBITDA'!O180/'Quarterly Revenue&amp;EBITDA'!O65</f>
        <v>0.1610695528</v>
      </c>
      <c r="P65" s="62"/>
      <c r="Q65" s="62"/>
      <c r="R65" s="63"/>
      <c r="S65" s="63">
        <f>'Quarterly Revenue&amp;EBITDA'!S180/'Quarterly Revenue&amp;EBITDA'!S65</f>
        <v>0.1508370293</v>
      </c>
      <c r="T65" s="62"/>
      <c r="U65" s="62"/>
      <c r="V65" s="63">
        <f>'Quarterly Revenue&amp;EBITDA'!V180/'Quarterly Revenue&amp;EBITDA'!V65</f>
        <v>-0.383367403</v>
      </c>
      <c r="W65" s="63"/>
      <c r="X65" s="63">
        <f>'Quarterly Revenue&amp;EBITDA'!X180/'Quarterly Revenue&amp;EBITDA'!X65</f>
        <v>0.1872958731</v>
      </c>
      <c r="Y65" s="63"/>
      <c r="Z65" s="63"/>
      <c r="AA65" s="63"/>
      <c r="AB65" s="63"/>
      <c r="AC65" s="63"/>
      <c r="AD65" s="43"/>
    </row>
    <row r="66">
      <c r="A66" s="42" t="s">
        <v>93</v>
      </c>
      <c r="B66" s="62"/>
      <c r="C66" s="63">
        <f>'Quarterly Revenue&amp;EBITDA'!C181/'Quarterly Revenue&amp;EBITDA'!C66</f>
        <v>0.3601881483</v>
      </c>
      <c r="D66" s="63">
        <f>'Quarterly Revenue&amp;EBITDA'!D181/'Quarterly Revenue&amp;EBITDA'!D66</f>
        <v>0.1847734203</v>
      </c>
      <c r="E66" s="63">
        <f>'Quarterly Revenue&amp;EBITDA'!E181/'Quarterly Revenue&amp;EBITDA'!E66</f>
        <v>0.2060806649</v>
      </c>
      <c r="F66" s="63">
        <f>'Quarterly Revenue&amp;EBITDA'!F181/'Quarterly Revenue&amp;EBITDA'!F66</f>
        <v>0.4220183486</v>
      </c>
      <c r="G66" s="62"/>
      <c r="H66" s="63">
        <f>'Quarterly Revenue&amp;EBITDA'!H181/'Quarterly Revenue&amp;EBITDA'!H66</f>
        <v>0.2093677685</v>
      </c>
      <c r="I66" s="62"/>
      <c r="J66" s="63">
        <f>'Quarterly Revenue&amp;EBITDA'!J181/'Quarterly Revenue&amp;EBITDA'!J66</f>
        <v>-0.0622274082</v>
      </c>
      <c r="K66" s="62"/>
      <c r="L66" s="62"/>
      <c r="M66" s="62"/>
      <c r="N66" s="62"/>
      <c r="O66" s="65">
        <f>'Quarterly Revenue&amp;EBITDA'!O181/'Quarterly Revenue&amp;EBITDA'!O66</f>
        <v>0.1610695528</v>
      </c>
      <c r="P66" s="62"/>
      <c r="Q66" s="62"/>
      <c r="R66" s="63"/>
      <c r="S66" s="63">
        <f>'Quarterly Revenue&amp;EBITDA'!S181/'Quarterly Revenue&amp;EBITDA'!S66</f>
        <v>0.1508370293</v>
      </c>
      <c r="T66" s="62"/>
      <c r="U66" s="62"/>
      <c r="V66" s="63">
        <f>'Quarterly Revenue&amp;EBITDA'!V181/'Quarterly Revenue&amp;EBITDA'!V66</f>
        <v>-0.383367403</v>
      </c>
      <c r="W66" s="63"/>
      <c r="X66" s="63">
        <f>'Quarterly Revenue&amp;EBITDA'!X181/'Quarterly Revenue&amp;EBITDA'!X66</f>
        <v>0.1872958731</v>
      </c>
      <c r="Y66" s="63"/>
      <c r="Z66" s="63"/>
      <c r="AA66" s="63"/>
      <c r="AB66" s="63"/>
      <c r="AC66" s="63"/>
      <c r="AD66" s="43"/>
    </row>
    <row r="67">
      <c r="A67" s="42" t="s">
        <v>94</v>
      </c>
      <c r="B67" s="62"/>
      <c r="C67" s="63">
        <f>'Quarterly Revenue&amp;EBITDA'!C182/'Quarterly Revenue&amp;EBITDA'!C67</f>
        <v>0.3724827058</v>
      </c>
      <c r="D67" s="63">
        <f>'Quarterly Revenue&amp;EBITDA'!D182/'Quarterly Revenue&amp;EBITDA'!D67</f>
        <v>0.1663975902</v>
      </c>
      <c r="E67" s="63">
        <f>'Quarterly Revenue&amp;EBITDA'!E182/'Quarterly Revenue&amp;EBITDA'!E67</f>
        <v>0.202275866</v>
      </c>
      <c r="F67" s="63">
        <f>'Quarterly Revenue&amp;EBITDA'!F182/'Quarterly Revenue&amp;EBITDA'!F67</f>
        <v>0.3492063492</v>
      </c>
      <c r="G67" s="62"/>
      <c r="H67" s="63">
        <f>'Quarterly Revenue&amp;EBITDA'!H182/'Quarterly Revenue&amp;EBITDA'!H67</f>
        <v>0.2093677685</v>
      </c>
      <c r="I67" s="62"/>
      <c r="J67" s="63">
        <f>'Quarterly Revenue&amp;EBITDA'!J182/'Quarterly Revenue&amp;EBITDA'!J67</f>
        <v>-0.0622274082</v>
      </c>
      <c r="K67" s="62"/>
      <c r="L67" s="62"/>
      <c r="M67" s="62"/>
      <c r="N67" s="62"/>
      <c r="O67" s="65">
        <f>'Quarterly Revenue&amp;EBITDA'!O182/'Quarterly Revenue&amp;EBITDA'!O67</f>
        <v>0.1610695528</v>
      </c>
      <c r="P67" s="62"/>
      <c r="Q67" s="62"/>
      <c r="R67" s="63"/>
      <c r="S67" s="63">
        <f>'Quarterly Revenue&amp;EBITDA'!S182/'Quarterly Revenue&amp;EBITDA'!S67</f>
        <v>0.1704938104</v>
      </c>
      <c r="T67" s="62"/>
      <c r="U67" s="62"/>
      <c r="V67" s="63">
        <f>'Quarterly Revenue&amp;EBITDA'!V182/'Quarterly Revenue&amp;EBITDA'!V67</f>
        <v>0.00009445066901</v>
      </c>
      <c r="W67" s="63"/>
      <c r="X67" s="63">
        <f>'Quarterly Revenue&amp;EBITDA'!X182/'Quarterly Revenue&amp;EBITDA'!X67</f>
        <v>0.1872958731</v>
      </c>
      <c r="Y67" s="63"/>
      <c r="Z67" s="63"/>
      <c r="AA67" s="63"/>
      <c r="AB67" s="63"/>
      <c r="AC67" s="63"/>
      <c r="AD67" s="43"/>
    </row>
    <row r="68">
      <c r="A68" s="42" t="s">
        <v>95</v>
      </c>
      <c r="B68" s="62"/>
      <c r="C68" s="63">
        <f>'Quarterly Revenue&amp;EBITDA'!C183/'Quarterly Revenue&amp;EBITDA'!C68</f>
        <v>0.3724827058</v>
      </c>
      <c r="D68" s="63">
        <f>'Quarterly Revenue&amp;EBITDA'!D183/'Quarterly Revenue&amp;EBITDA'!D68</f>
        <v>0.1663975902</v>
      </c>
      <c r="E68" s="63">
        <f>'Quarterly Revenue&amp;EBITDA'!E183/'Quarterly Revenue&amp;EBITDA'!E68</f>
        <v>0.202275866</v>
      </c>
      <c r="F68" s="63">
        <f>'Quarterly Revenue&amp;EBITDA'!F183/'Quarterly Revenue&amp;EBITDA'!F68</f>
        <v>0.3492063492</v>
      </c>
      <c r="G68" s="62"/>
      <c r="H68" s="63">
        <f>'Quarterly Revenue&amp;EBITDA'!H183/'Quarterly Revenue&amp;EBITDA'!H68</f>
        <v>0.1739067228</v>
      </c>
      <c r="I68" s="62"/>
      <c r="J68" s="63">
        <f>'Quarterly Revenue&amp;EBITDA'!J183/'Quarterly Revenue&amp;EBITDA'!J68</f>
        <v>-0.03784940536</v>
      </c>
      <c r="K68" s="62"/>
      <c r="L68" s="62"/>
      <c r="M68" s="62"/>
      <c r="N68" s="62"/>
      <c r="O68" s="65">
        <f>'Quarterly Revenue&amp;EBITDA'!O183/'Quarterly Revenue&amp;EBITDA'!O68</f>
        <v>0.1610695528</v>
      </c>
      <c r="P68" s="62"/>
      <c r="Q68" s="62"/>
      <c r="R68" s="63"/>
      <c r="S68" s="63">
        <f>'Quarterly Revenue&amp;EBITDA'!S183/'Quarterly Revenue&amp;EBITDA'!S68</f>
        <v>0.1704938104</v>
      </c>
      <c r="T68" s="62"/>
      <c r="U68" s="62"/>
      <c r="V68" s="63">
        <f>'Quarterly Revenue&amp;EBITDA'!V183/'Quarterly Revenue&amp;EBITDA'!V68</f>
        <v>0.00009445066901</v>
      </c>
      <c r="W68" s="63"/>
      <c r="X68" s="63">
        <f>'Quarterly Revenue&amp;EBITDA'!X183/'Quarterly Revenue&amp;EBITDA'!X68</f>
        <v>0.1872958731</v>
      </c>
      <c r="Y68" s="63"/>
      <c r="Z68" s="63"/>
      <c r="AA68" s="63"/>
      <c r="AB68" s="63"/>
      <c r="AC68" s="63"/>
      <c r="AD68" s="43"/>
    </row>
    <row r="69">
      <c r="A69" s="42" t="s">
        <v>96</v>
      </c>
      <c r="B69" s="62"/>
      <c r="C69" s="63">
        <f>'Quarterly Revenue&amp;EBITDA'!C184/'Quarterly Revenue&amp;EBITDA'!C69</f>
        <v>0.3724827058</v>
      </c>
      <c r="D69" s="63">
        <f>'Quarterly Revenue&amp;EBITDA'!D184/'Quarterly Revenue&amp;EBITDA'!D69</f>
        <v>0.1663975902</v>
      </c>
      <c r="E69" s="63">
        <f>'Quarterly Revenue&amp;EBITDA'!E184/'Quarterly Revenue&amp;EBITDA'!E69</f>
        <v>0.202275866</v>
      </c>
      <c r="F69" s="63">
        <f>'Quarterly Revenue&amp;EBITDA'!F184/'Quarterly Revenue&amp;EBITDA'!F69</f>
        <v>0.3492063492</v>
      </c>
      <c r="G69" s="62"/>
      <c r="H69" s="63">
        <f>'Quarterly Revenue&amp;EBITDA'!H184/'Quarterly Revenue&amp;EBITDA'!H69</f>
        <v>0.1739067228</v>
      </c>
      <c r="I69" s="62"/>
      <c r="J69" s="63">
        <f>'Quarterly Revenue&amp;EBITDA'!J184/'Quarterly Revenue&amp;EBITDA'!J69</f>
        <v>-0.03784940536</v>
      </c>
      <c r="K69" s="62"/>
      <c r="L69" s="62"/>
      <c r="M69" s="62"/>
      <c r="N69" s="62"/>
      <c r="O69" s="65">
        <f>'Quarterly Revenue&amp;EBITDA'!O184/'Quarterly Revenue&amp;EBITDA'!O69</f>
        <v>0.2423081476</v>
      </c>
      <c r="P69" s="62"/>
      <c r="Q69" s="62"/>
      <c r="R69" s="63"/>
      <c r="S69" s="63">
        <f>'Quarterly Revenue&amp;EBITDA'!S184/'Quarterly Revenue&amp;EBITDA'!S69</f>
        <v>0.1704938104</v>
      </c>
      <c r="T69" s="62"/>
      <c r="U69" s="62"/>
      <c r="V69" s="63">
        <f>'Quarterly Revenue&amp;EBITDA'!V184/'Quarterly Revenue&amp;EBITDA'!V69</f>
        <v>0.00009445066901</v>
      </c>
      <c r="W69" s="63"/>
      <c r="X69" s="63">
        <f>'Quarterly Revenue&amp;EBITDA'!X184/'Quarterly Revenue&amp;EBITDA'!X69</f>
        <v>0.1677764807</v>
      </c>
      <c r="Y69" s="63"/>
      <c r="Z69" s="63"/>
      <c r="AA69" s="63"/>
      <c r="AB69" s="63"/>
      <c r="AC69" s="63"/>
      <c r="AD69" s="43"/>
    </row>
    <row r="70">
      <c r="A70" s="42" t="s">
        <v>97</v>
      </c>
      <c r="B70" s="62"/>
      <c r="C70" s="63">
        <f>'Quarterly Revenue&amp;EBITDA'!C185/'Quarterly Revenue&amp;EBITDA'!C70</f>
        <v>0.3724827058</v>
      </c>
      <c r="D70" s="63">
        <f>'Quarterly Revenue&amp;EBITDA'!D185/'Quarterly Revenue&amp;EBITDA'!D70</f>
        <v>0.1663975902</v>
      </c>
      <c r="E70" s="63">
        <f>'Quarterly Revenue&amp;EBITDA'!E185/'Quarterly Revenue&amp;EBITDA'!E70</f>
        <v>0.202275866</v>
      </c>
      <c r="F70" s="63">
        <f>'Quarterly Revenue&amp;EBITDA'!F185/'Quarterly Revenue&amp;EBITDA'!F70</f>
        <v>0.3492063492</v>
      </c>
      <c r="G70" s="62"/>
      <c r="H70" s="63">
        <f>'Quarterly Revenue&amp;EBITDA'!H185/'Quarterly Revenue&amp;EBITDA'!H70</f>
        <v>0.1739067228</v>
      </c>
      <c r="I70" s="62"/>
      <c r="J70" s="63">
        <f>'Quarterly Revenue&amp;EBITDA'!J185/'Quarterly Revenue&amp;EBITDA'!J70</f>
        <v>-0.03784940536</v>
      </c>
      <c r="K70" s="62"/>
      <c r="L70" s="62"/>
      <c r="M70" s="62"/>
      <c r="N70" s="62"/>
      <c r="O70" s="65">
        <f>'Quarterly Revenue&amp;EBITDA'!O185/'Quarterly Revenue&amp;EBITDA'!O70</f>
        <v>0.2423081476</v>
      </c>
      <c r="P70" s="62"/>
      <c r="Q70" s="62"/>
      <c r="R70" s="63"/>
      <c r="S70" s="63">
        <f>'Quarterly Revenue&amp;EBITDA'!S185/'Quarterly Revenue&amp;EBITDA'!S70</f>
        <v>0.1704938104</v>
      </c>
      <c r="T70" s="62"/>
      <c r="U70" s="62"/>
      <c r="V70" s="63">
        <f>'Quarterly Revenue&amp;EBITDA'!V185/'Quarterly Revenue&amp;EBITDA'!V70</f>
        <v>0.00009445066901</v>
      </c>
      <c r="W70" s="63"/>
      <c r="X70" s="63">
        <f>'Quarterly Revenue&amp;EBITDA'!X185/'Quarterly Revenue&amp;EBITDA'!X70</f>
        <v>0.1677764807</v>
      </c>
      <c r="Y70" s="63"/>
      <c r="Z70" s="63"/>
      <c r="AA70" s="63"/>
      <c r="AB70" s="63"/>
      <c r="AC70" s="63"/>
      <c r="AD70" s="43"/>
    </row>
    <row r="71">
      <c r="A71" s="42" t="s">
        <v>98</v>
      </c>
      <c r="B71" s="62"/>
      <c r="C71" s="63">
        <f>'Quarterly Revenue&amp;EBITDA'!C186/'Quarterly Revenue&amp;EBITDA'!C71</f>
        <v>0.3886689495</v>
      </c>
      <c r="D71" s="63">
        <f>'Quarterly Revenue&amp;EBITDA'!D186/'Quarterly Revenue&amp;EBITDA'!D71</f>
        <v>0.1614240342</v>
      </c>
      <c r="E71" s="63">
        <f>'Quarterly Revenue&amp;EBITDA'!E186/'Quarterly Revenue&amp;EBITDA'!E71</f>
        <v>0.004263442253</v>
      </c>
      <c r="F71" s="63">
        <f>'Quarterly Revenue&amp;EBITDA'!F186/'Quarterly Revenue&amp;EBITDA'!F71</f>
        <v>0.3282504013</v>
      </c>
      <c r="G71" s="63">
        <f>'Quarterly Revenue&amp;EBITDA'!G186/'Quarterly Revenue&amp;EBITDA'!G71</f>
        <v>-0.000870699755</v>
      </c>
      <c r="H71" s="63">
        <f>'Quarterly Revenue&amp;EBITDA'!H186/'Quarterly Revenue&amp;EBITDA'!H71</f>
        <v>0.1739067228</v>
      </c>
      <c r="I71" s="62"/>
      <c r="J71" s="63">
        <f>'Quarterly Revenue&amp;EBITDA'!J186/'Quarterly Revenue&amp;EBITDA'!J71</f>
        <v>-0.03784940536</v>
      </c>
      <c r="K71" s="62"/>
      <c r="L71" s="62"/>
      <c r="M71" s="62"/>
      <c r="N71" s="63"/>
      <c r="O71" s="65">
        <f>'Quarterly Revenue&amp;EBITDA'!O186/'Quarterly Revenue&amp;EBITDA'!O71</f>
        <v>0.2423081476</v>
      </c>
      <c r="P71" s="62"/>
      <c r="Q71" s="62"/>
      <c r="R71" s="63"/>
      <c r="S71" s="63">
        <f>'Quarterly Revenue&amp;EBITDA'!S186/'Quarterly Revenue&amp;EBITDA'!S71</f>
        <v>0.1622855926</v>
      </c>
      <c r="T71" s="62"/>
      <c r="U71" s="62"/>
      <c r="V71" s="63">
        <f>'Quarterly Revenue&amp;EBITDA'!V186/'Quarterly Revenue&amp;EBITDA'!V71</f>
        <v>0.04781187266</v>
      </c>
      <c r="W71" s="63"/>
      <c r="X71" s="63">
        <f>'Quarterly Revenue&amp;EBITDA'!X186/'Quarterly Revenue&amp;EBITDA'!X71</f>
        <v>0.1677764807</v>
      </c>
      <c r="Y71" s="63">
        <f>'Quarterly Revenue&amp;EBITDA'!Y186/'Quarterly Revenue&amp;EBITDA'!Y71</f>
        <v>0.1423151191</v>
      </c>
      <c r="Z71" s="63"/>
      <c r="AA71" s="63">
        <f>'Quarterly Revenue&amp;EBITDA'!AA186/'Quarterly Revenue&amp;EBITDA'!AA71</f>
        <v>0.05768314</v>
      </c>
      <c r="AB71" s="63"/>
      <c r="AC71" s="63"/>
      <c r="AD71" s="43"/>
    </row>
    <row r="72">
      <c r="A72" s="42" t="s">
        <v>99</v>
      </c>
      <c r="B72" s="62"/>
      <c r="C72" s="63">
        <f>'Quarterly Revenue&amp;EBITDA'!C187/'Quarterly Revenue&amp;EBITDA'!C72</f>
        <v>0.3886689495</v>
      </c>
      <c r="D72" s="63">
        <f>'Quarterly Revenue&amp;EBITDA'!D187/'Quarterly Revenue&amp;EBITDA'!D72</f>
        <v>0.1614240342</v>
      </c>
      <c r="E72" s="63">
        <f>'Quarterly Revenue&amp;EBITDA'!E187/'Quarterly Revenue&amp;EBITDA'!E72</f>
        <v>0.004263442253</v>
      </c>
      <c r="F72" s="63">
        <f>'Quarterly Revenue&amp;EBITDA'!F187/'Quarterly Revenue&amp;EBITDA'!F72</f>
        <v>0.3282504013</v>
      </c>
      <c r="G72" s="63">
        <f>'Quarterly Revenue&amp;EBITDA'!G187/'Quarterly Revenue&amp;EBITDA'!G72</f>
        <v>-0.000870699755</v>
      </c>
      <c r="H72" s="63">
        <f>'Quarterly Revenue&amp;EBITDA'!H187/'Quarterly Revenue&amp;EBITDA'!H72</f>
        <v>0.7409749331</v>
      </c>
      <c r="I72" s="62"/>
      <c r="J72" s="63">
        <f>'Quarterly Revenue&amp;EBITDA'!J187/'Quarterly Revenue&amp;EBITDA'!J72</f>
        <v>-0.02157629403</v>
      </c>
      <c r="K72" s="62"/>
      <c r="L72" s="62"/>
      <c r="M72" s="62"/>
      <c r="N72" s="63"/>
      <c r="O72" s="65">
        <f>'Quarterly Revenue&amp;EBITDA'!O187/'Quarterly Revenue&amp;EBITDA'!O72</f>
        <v>0.2423081476</v>
      </c>
      <c r="P72" s="62"/>
      <c r="Q72" s="62"/>
      <c r="R72" s="63"/>
      <c r="S72" s="63">
        <f>'Quarterly Revenue&amp;EBITDA'!S187/'Quarterly Revenue&amp;EBITDA'!S72</f>
        <v>0.1622855926</v>
      </c>
      <c r="T72" s="62"/>
      <c r="U72" s="62"/>
      <c r="V72" s="63">
        <f>'Quarterly Revenue&amp;EBITDA'!V187/'Quarterly Revenue&amp;EBITDA'!V72</f>
        <v>0.04781187266</v>
      </c>
      <c r="W72" s="63"/>
      <c r="X72" s="63">
        <f>'Quarterly Revenue&amp;EBITDA'!X187/'Quarterly Revenue&amp;EBITDA'!X72</f>
        <v>0.1677764807</v>
      </c>
      <c r="Y72" s="63">
        <f>'Quarterly Revenue&amp;EBITDA'!Y187/'Quarterly Revenue&amp;EBITDA'!Y72</f>
        <v>0.1423151191</v>
      </c>
      <c r="Z72" s="63"/>
      <c r="AA72" s="63">
        <f>'Quarterly Revenue&amp;EBITDA'!AA187/'Quarterly Revenue&amp;EBITDA'!AA72</f>
        <v>0.05768314</v>
      </c>
      <c r="AB72" s="63"/>
      <c r="AC72" s="63"/>
      <c r="AD72" s="43"/>
    </row>
    <row r="73">
      <c r="A73" s="42" t="s">
        <v>100</v>
      </c>
      <c r="B73" s="62"/>
      <c r="C73" s="63">
        <f>'Quarterly Revenue&amp;EBITDA'!C188/'Quarterly Revenue&amp;EBITDA'!C73</f>
        <v>0.3886689495</v>
      </c>
      <c r="D73" s="63">
        <f>'Quarterly Revenue&amp;EBITDA'!D188/'Quarterly Revenue&amp;EBITDA'!D73</f>
        <v>0.1614240342</v>
      </c>
      <c r="E73" s="63">
        <f>'Quarterly Revenue&amp;EBITDA'!E188/'Quarterly Revenue&amp;EBITDA'!E73</f>
        <v>0.004263442253</v>
      </c>
      <c r="F73" s="63">
        <f>'Quarterly Revenue&amp;EBITDA'!F188/'Quarterly Revenue&amp;EBITDA'!F73</f>
        <v>0.3282504013</v>
      </c>
      <c r="G73" s="63">
        <f>'Quarterly Revenue&amp;EBITDA'!G188/'Quarterly Revenue&amp;EBITDA'!G73</f>
        <v>-0.000870699755</v>
      </c>
      <c r="H73" s="63">
        <f>'Quarterly Revenue&amp;EBITDA'!H188/'Quarterly Revenue&amp;EBITDA'!H73</f>
        <v>0.7409749331</v>
      </c>
      <c r="I73" s="62"/>
      <c r="J73" s="63">
        <f>'Quarterly Revenue&amp;EBITDA'!J188/'Quarterly Revenue&amp;EBITDA'!J73</f>
        <v>-0.02157629403</v>
      </c>
      <c r="K73" s="62"/>
      <c r="L73" s="62"/>
      <c r="M73" s="62"/>
      <c r="N73" s="63"/>
      <c r="O73" s="65">
        <f>'Quarterly Revenue&amp;EBITDA'!O188/'Quarterly Revenue&amp;EBITDA'!O73</f>
        <v>0.2472404975</v>
      </c>
      <c r="P73" s="62"/>
      <c r="Q73" s="62"/>
      <c r="R73" s="63"/>
      <c r="S73" s="63">
        <f>'Quarterly Revenue&amp;EBITDA'!S188/'Quarterly Revenue&amp;EBITDA'!S73</f>
        <v>0.1622855926</v>
      </c>
      <c r="T73" s="62"/>
      <c r="U73" s="62"/>
      <c r="V73" s="63">
        <f>'Quarterly Revenue&amp;EBITDA'!V188/'Quarterly Revenue&amp;EBITDA'!V73</f>
        <v>0.04781187266</v>
      </c>
      <c r="W73" s="63"/>
      <c r="X73" s="63">
        <f>'Quarterly Revenue&amp;EBITDA'!X188/'Quarterly Revenue&amp;EBITDA'!X73</f>
        <v>0.2332794565</v>
      </c>
      <c r="Y73" s="63">
        <f>'Quarterly Revenue&amp;EBITDA'!Y188/'Quarterly Revenue&amp;EBITDA'!Y73</f>
        <v>0.1423151191</v>
      </c>
      <c r="Z73" s="63"/>
      <c r="AA73" s="63">
        <f>'Quarterly Revenue&amp;EBITDA'!AA188/'Quarterly Revenue&amp;EBITDA'!AA73</f>
        <v>0.05768314</v>
      </c>
      <c r="AB73" s="63"/>
      <c r="AC73" s="63"/>
      <c r="AD73" s="43"/>
    </row>
    <row r="74">
      <c r="A74" s="42" t="s">
        <v>101</v>
      </c>
      <c r="B74" s="62"/>
      <c r="C74" s="63">
        <f>'Quarterly Revenue&amp;EBITDA'!C189/'Quarterly Revenue&amp;EBITDA'!C74</f>
        <v>0.3886689495</v>
      </c>
      <c r="D74" s="63">
        <f>'Quarterly Revenue&amp;EBITDA'!D189/'Quarterly Revenue&amp;EBITDA'!D74</f>
        <v>0.1614240342</v>
      </c>
      <c r="E74" s="63">
        <f>'Quarterly Revenue&amp;EBITDA'!E189/'Quarterly Revenue&amp;EBITDA'!E74</f>
        <v>0.004263442253</v>
      </c>
      <c r="F74" s="63">
        <f>'Quarterly Revenue&amp;EBITDA'!F189/'Quarterly Revenue&amp;EBITDA'!F74</f>
        <v>0.3282504013</v>
      </c>
      <c r="G74" s="63">
        <f>'Quarterly Revenue&amp;EBITDA'!G189/'Quarterly Revenue&amp;EBITDA'!G74</f>
        <v>-0.000870699755</v>
      </c>
      <c r="H74" s="63">
        <f>'Quarterly Revenue&amp;EBITDA'!H189/'Quarterly Revenue&amp;EBITDA'!H74</f>
        <v>0.6336226086</v>
      </c>
      <c r="I74" s="62"/>
      <c r="J74" s="63">
        <f>'Quarterly Revenue&amp;EBITDA'!J189/'Quarterly Revenue&amp;EBITDA'!J74</f>
        <v>-0.02157629403</v>
      </c>
      <c r="K74" s="62"/>
      <c r="L74" s="62"/>
      <c r="M74" s="62"/>
      <c r="N74" s="63"/>
      <c r="O74" s="65">
        <f>'Quarterly Revenue&amp;EBITDA'!O189/'Quarterly Revenue&amp;EBITDA'!O74</f>
        <v>0.2472404975</v>
      </c>
      <c r="P74" s="62"/>
      <c r="Q74" s="62"/>
      <c r="R74" s="63"/>
      <c r="S74" s="63">
        <f>'Quarterly Revenue&amp;EBITDA'!S189/'Quarterly Revenue&amp;EBITDA'!S74</f>
        <v>0.1622855926</v>
      </c>
      <c r="T74" s="62"/>
      <c r="U74" s="62"/>
      <c r="V74" s="63">
        <f>'Quarterly Revenue&amp;EBITDA'!V189/'Quarterly Revenue&amp;EBITDA'!V74</f>
        <v>0.04781187266</v>
      </c>
      <c r="W74" s="63"/>
      <c r="X74" s="63">
        <f>'Quarterly Revenue&amp;EBITDA'!X189/'Quarterly Revenue&amp;EBITDA'!X74</f>
        <v>0.2332794565</v>
      </c>
      <c r="Y74" s="63">
        <f>'Quarterly Revenue&amp;EBITDA'!Y189/'Quarterly Revenue&amp;EBITDA'!Y74</f>
        <v>0.1423151191</v>
      </c>
      <c r="Z74" s="63"/>
      <c r="AA74" s="63">
        <f>'Quarterly Revenue&amp;EBITDA'!AA189/'Quarterly Revenue&amp;EBITDA'!AA74</f>
        <v>0.05768314</v>
      </c>
      <c r="AB74" s="63"/>
      <c r="AC74" s="63"/>
      <c r="AD74" s="43"/>
    </row>
    <row r="75">
      <c r="A75" s="42" t="s">
        <v>102</v>
      </c>
      <c r="B75" s="63">
        <f>'Quarterly Revenue&amp;EBITDA'!B190/'Quarterly Revenue&amp;EBITDA'!B75</f>
        <v>-0.13459356</v>
      </c>
      <c r="C75" s="63">
        <f>'Quarterly Revenue&amp;EBITDA'!C190/'Quarterly Revenue&amp;EBITDA'!C75</f>
        <v>0.3828497373</v>
      </c>
      <c r="D75" s="63">
        <f>'Quarterly Revenue&amp;EBITDA'!D190/'Quarterly Revenue&amp;EBITDA'!D75</f>
        <v>0.1370131245</v>
      </c>
      <c r="E75" s="63">
        <f>'Quarterly Revenue&amp;EBITDA'!E190/'Quarterly Revenue&amp;EBITDA'!E75</f>
        <v>0.06398295392</v>
      </c>
      <c r="F75" s="63">
        <f>'Quarterly Revenue&amp;EBITDA'!F190/'Quarterly Revenue&amp;EBITDA'!F75</f>
        <v>0.2178284182</v>
      </c>
      <c r="G75" s="63">
        <f>'Quarterly Revenue&amp;EBITDA'!G190/'Quarterly Revenue&amp;EBITDA'!G75</f>
        <v>-0.03048513559</v>
      </c>
      <c r="H75" s="63">
        <f>'Quarterly Revenue&amp;EBITDA'!H190/'Quarterly Revenue&amp;EBITDA'!H75</f>
        <v>0.6336226086</v>
      </c>
      <c r="I75" s="63">
        <f>'Quarterly Revenue&amp;EBITDA'!I190/'Quarterly Revenue&amp;EBITDA'!I75</f>
        <v>-0.09468095449</v>
      </c>
      <c r="J75" s="63">
        <f>'Quarterly Revenue&amp;EBITDA'!J190/'Quarterly Revenue&amp;EBITDA'!J75</f>
        <v>-0.02157629403</v>
      </c>
      <c r="K75" s="62"/>
      <c r="L75" s="62"/>
      <c r="M75" s="62"/>
      <c r="N75" s="63"/>
      <c r="O75" s="65">
        <f>'Quarterly Revenue&amp;EBITDA'!O190/'Quarterly Revenue&amp;EBITDA'!O75</f>
        <v>0.2472404975</v>
      </c>
      <c r="P75" s="62"/>
      <c r="Q75" s="62"/>
      <c r="R75" s="63"/>
      <c r="S75" s="63">
        <f>'Quarterly Revenue&amp;EBITDA'!S190/'Quarterly Revenue&amp;EBITDA'!S75</f>
        <v>-0.04376519753</v>
      </c>
      <c r="T75" s="62"/>
      <c r="U75" s="62"/>
      <c r="V75" s="63"/>
      <c r="W75" s="63"/>
      <c r="X75" s="63">
        <f>'Quarterly Revenue&amp;EBITDA'!X190/'Quarterly Revenue&amp;EBITDA'!X75</f>
        <v>0.2332794565</v>
      </c>
      <c r="Y75" s="63">
        <f>'Quarterly Revenue&amp;EBITDA'!Y190/'Quarterly Revenue&amp;EBITDA'!Y75</f>
        <v>0.100001819</v>
      </c>
      <c r="Z75" s="63">
        <f>'Quarterly Revenue&amp;EBITDA'!Z190/'Quarterly Revenue&amp;EBITDA'!Z75</f>
        <v>0.3280318091</v>
      </c>
      <c r="AA75" s="63">
        <f>'Quarterly Revenue&amp;EBITDA'!AA190/'Quarterly Revenue&amp;EBITDA'!AA75</f>
        <v>0.02328927979</v>
      </c>
      <c r="AB75" s="63"/>
      <c r="AC75" s="63"/>
      <c r="AD75" s="43"/>
    </row>
    <row r="76">
      <c r="A76" s="42" t="s">
        <v>103</v>
      </c>
      <c r="B76" s="63">
        <f>'Quarterly Revenue&amp;EBITDA'!B191/'Quarterly Revenue&amp;EBITDA'!B76</f>
        <v>-0.13459356</v>
      </c>
      <c r="C76" s="63">
        <f>'Quarterly Revenue&amp;EBITDA'!C191/'Quarterly Revenue&amp;EBITDA'!C76</f>
        <v>0.3828497373</v>
      </c>
      <c r="D76" s="63">
        <f>'Quarterly Revenue&amp;EBITDA'!D191/'Quarterly Revenue&amp;EBITDA'!D76</f>
        <v>0.1370131245</v>
      </c>
      <c r="E76" s="63">
        <f>'Quarterly Revenue&amp;EBITDA'!E191/'Quarterly Revenue&amp;EBITDA'!E76</f>
        <v>0.06398295392</v>
      </c>
      <c r="F76" s="63">
        <f>'Quarterly Revenue&amp;EBITDA'!F191/'Quarterly Revenue&amp;EBITDA'!F76</f>
        <v>0.2178284182</v>
      </c>
      <c r="G76" s="63">
        <f>'Quarterly Revenue&amp;EBITDA'!G191/'Quarterly Revenue&amp;EBITDA'!G76</f>
        <v>-0.03048513559</v>
      </c>
      <c r="H76" s="63">
        <f>'Quarterly Revenue&amp;EBITDA'!H191/'Quarterly Revenue&amp;EBITDA'!H76</f>
        <v>0.1861945789</v>
      </c>
      <c r="I76" s="63">
        <f>'Quarterly Revenue&amp;EBITDA'!I191/'Quarterly Revenue&amp;EBITDA'!I76</f>
        <v>-0.09468095449</v>
      </c>
      <c r="J76" s="63">
        <f>'Quarterly Revenue&amp;EBITDA'!J191/'Quarterly Revenue&amp;EBITDA'!J76</f>
        <v>-0.1647264054</v>
      </c>
      <c r="K76" s="62"/>
      <c r="L76" s="62"/>
      <c r="M76" s="62"/>
      <c r="N76" s="63"/>
      <c r="O76" s="65">
        <f>'Quarterly Revenue&amp;EBITDA'!O191/'Quarterly Revenue&amp;EBITDA'!O76</f>
        <v>0.2472404975</v>
      </c>
      <c r="P76" s="62"/>
      <c r="Q76" s="62"/>
      <c r="R76" s="63"/>
      <c r="S76" s="63">
        <f>'Quarterly Revenue&amp;EBITDA'!S191/'Quarterly Revenue&amp;EBITDA'!S76</f>
        <v>-0.04376519753</v>
      </c>
      <c r="T76" s="62"/>
      <c r="U76" s="62"/>
      <c r="V76" s="63"/>
      <c r="W76" s="63"/>
      <c r="X76" s="63">
        <f>'Quarterly Revenue&amp;EBITDA'!X191/'Quarterly Revenue&amp;EBITDA'!X76</f>
        <v>0.2332794565</v>
      </c>
      <c r="Y76" s="63">
        <f>'Quarterly Revenue&amp;EBITDA'!Y191/'Quarterly Revenue&amp;EBITDA'!Y76</f>
        <v>0.100001819</v>
      </c>
      <c r="Z76" s="63">
        <f>'Quarterly Revenue&amp;EBITDA'!Z191/'Quarterly Revenue&amp;EBITDA'!Z76</f>
        <v>0.3280318091</v>
      </c>
      <c r="AA76" s="63">
        <f>'Quarterly Revenue&amp;EBITDA'!AA191/'Quarterly Revenue&amp;EBITDA'!AA76</f>
        <v>0.02328927979</v>
      </c>
      <c r="AB76" s="63"/>
      <c r="AC76" s="63"/>
      <c r="AD76" s="43"/>
    </row>
    <row r="77">
      <c r="A77" s="42" t="s">
        <v>104</v>
      </c>
      <c r="B77" s="63">
        <f>'Quarterly Revenue&amp;EBITDA'!B192/'Quarterly Revenue&amp;EBITDA'!B77</f>
        <v>-0.13459356</v>
      </c>
      <c r="C77" s="63">
        <f>'Quarterly Revenue&amp;EBITDA'!C192/'Quarterly Revenue&amp;EBITDA'!C77</f>
        <v>0.3828497373</v>
      </c>
      <c r="D77" s="63">
        <f>'Quarterly Revenue&amp;EBITDA'!D192/'Quarterly Revenue&amp;EBITDA'!D77</f>
        <v>0.1370131245</v>
      </c>
      <c r="E77" s="63">
        <f>'Quarterly Revenue&amp;EBITDA'!E192/'Quarterly Revenue&amp;EBITDA'!E77</f>
        <v>0.06398295392</v>
      </c>
      <c r="F77" s="63">
        <f>'Quarterly Revenue&amp;EBITDA'!F192/'Quarterly Revenue&amp;EBITDA'!F77</f>
        <v>0.2178284182</v>
      </c>
      <c r="G77" s="63">
        <f>'Quarterly Revenue&amp;EBITDA'!G192/'Quarterly Revenue&amp;EBITDA'!G77</f>
        <v>-0.03048513559</v>
      </c>
      <c r="H77" s="63">
        <f>'Quarterly Revenue&amp;EBITDA'!H192/'Quarterly Revenue&amp;EBITDA'!H77</f>
        <v>0.1861945789</v>
      </c>
      <c r="I77" s="63">
        <f>'Quarterly Revenue&amp;EBITDA'!I192/'Quarterly Revenue&amp;EBITDA'!I77</f>
        <v>-0.09468095449</v>
      </c>
      <c r="J77" s="63">
        <f>'Quarterly Revenue&amp;EBITDA'!J192/'Quarterly Revenue&amp;EBITDA'!J77</f>
        <v>-0.1647264054</v>
      </c>
      <c r="K77" s="62"/>
      <c r="L77" s="62"/>
      <c r="M77" s="62"/>
      <c r="N77" s="63"/>
      <c r="O77" s="65">
        <f>'Quarterly Revenue&amp;EBITDA'!O192/'Quarterly Revenue&amp;EBITDA'!O77</f>
        <v>0.2379353939</v>
      </c>
      <c r="P77" s="62"/>
      <c r="Q77" s="62"/>
      <c r="R77" s="63"/>
      <c r="S77" s="63">
        <f>'Quarterly Revenue&amp;EBITDA'!S192/'Quarterly Revenue&amp;EBITDA'!S77</f>
        <v>-0.04376519753</v>
      </c>
      <c r="T77" s="62"/>
      <c r="U77" s="62"/>
      <c r="V77" s="63"/>
      <c r="W77" s="63"/>
      <c r="X77" s="63">
        <f>'Quarterly Revenue&amp;EBITDA'!X192/'Quarterly Revenue&amp;EBITDA'!X77</f>
        <v>0.1610794364</v>
      </c>
      <c r="Y77" s="63">
        <f>'Quarterly Revenue&amp;EBITDA'!Y192/'Quarterly Revenue&amp;EBITDA'!Y77</f>
        <v>0.100001819</v>
      </c>
      <c r="Z77" s="63">
        <f>'Quarterly Revenue&amp;EBITDA'!Z192/'Quarterly Revenue&amp;EBITDA'!Z77</f>
        <v>0.3280318091</v>
      </c>
      <c r="AA77" s="63">
        <f>'Quarterly Revenue&amp;EBITDA'!AA192/'Quarterly Revenue&amp;EBITDA'!AA77</f>
        <v>0.02328927979</v>
      </c>
      <c r="AB77" s="63"/>
      <c r="AC77" s="63"/>
      <c r="AD77" s="43"/>
    </row>
    <row r="78">
      <c r="A78" s="42" t="s">
        <v>105</v>
      </c>
      <c r="B78" s="63">
        <f>'Quarterly Revenue&amp;EBITDA'!B193/'Quarterly Revenue&amp;EBITDA'!B78</f>
        <v>-0.13459356</v>
      </c>
      <c r="C78" s="63">
        <f>'Quarterly Revenue&amp;EBITDA'!C193/'Quarterly Revenue&amp;EBITDA'!C78</f>
        <v>0.3828497373</v>
      </c>
      <c r="D78" s="63">
        <f>'Quarterly Revenue&amp;EBITDA'!D193/'Quarterly Revenue&amp;EBITDA'!D78</f>
        <v>0.1370131245</v>
      </c>
      <c r="E78" s="63">
        <f>'Quarterly Revenue&amp;EBITDA'!E193/'Quarterly Revenue&amp;EBITDA'!E78</f>
        <v>0.06398295392</v>
      </c>
      <c r="F78" s="63">
        <f>'Quarterly Revenue&amp;EBITDA'!F193/'Quarterly Revenue&amp;EBITDA'!F78</f>
        <v>0.2178284182</v>
      </c>
      <c r="G78" s="63">
        <f>'Quarterly Revenue&amp;EBITDA'!G193/'Quarterly Revenue&amp;EBITDA'!G78</f>
        <v>-0.03048513559</v>
      </c>
      <c r="H78" s="63">
        <f>'Quarterly Revenue&amp;EBITDA'!H193/'Quarterly Revenue&amp;EBITDA'!H78</f>
        <v>0.1861945789</v>
      </c>
      <c r="I78" s="63">
        <f>'Quarterly Revenue&amp;EBITDA'!I193/'Quarterly Revenue&amp;EBITDA'!I78</f>
        <v>-0.09468095449</v>
      </c>
      <c r="J78" s="63">
        <f>'Quarterly Revenue&amp;EBITDA'!J193/'Quarterly Revenue&amp;EBITDA'!J78</f>
        <v>-0.1647264054</v>
      </c>
      <c r="K78" s="62"/>
      <c r="L78" s="62"/>
      <c r="M78" s="62"/>
      <c r="N78" s="63"/>
      <c r="O78" s="65">
        <f>'Quarterly Revenue&amp;EBITDA'!O193/'Quarterly Revenue&amp;EBITDA'!O78</f>
        <v>0.2379353939</v>
      </c>
      <c r="P78" s="62"/>
      <c r="Q78" s="62"/>
      <c r="R78" s="63"/>
      <c r="S78" s="63">
        <f>'Quarterly Revenue&amp;EBITDA'!S193/'Quarterly Revenue&amp;EBITDA'!S78</f>
        <v>-0.04376519753</v>
      </c>
      <c r="T78" s="62"/>
      <c r="U78" s="62"/>
      <c r="V78" s="63"/>
      <c r="W78" s="63"/>
      <c r="X78" s="63">
        <f>'Quarterly Revenue&amp;EBITDA'!X193/'Quarterly Revenue&amp;EBITDA'!X78</f>
        <v>0.1610794364</v>
      </c>
      <c r="Y78" s="63">
        <f>'Quarterly Revenue&amp;EBITDA'!Y193/'Quarterly Revenue&amp;EBITDA'!Y78</f>
        <v>0.100001819</v>
      </c>
      <c r="Z78" s="63">
        <f>'Quarterly Revenue&amp;EBITDA'!Z193/'Quarterly Revenue&amp;EBITDA'!Z78</f>
        <v>0.3280318091</v>
      </c>
      <c r="AA78" s="63">
        <f>'Quarterly Revenue&amp;EBITDA'!AA193/'Quarterly Revenue&amp;EBITDA'!AA78</f>
        <v>0.02328927979</v>
      </c>
      <c r="AB78" s="63"/>
      <c r="AC78" s="63"/>
      <c r="AD78" s="43"/>
    </row>
    <row r="79">
      <c r="A79" s="42" t="s">
        <v>106</v>
      </c>
      <c r="B79" s="63">
        <f>'Quarterly Revenue&amp;EBITDA'!B194/'Quarterly Revenue&amp;EBITDA'!B79</f>
        <v>-0.08033035028</v>
      </c>
      <c r="C79" s="63">
        <f>'Quarterly Revenue&amp;EBITDA'!C194/'Quarterly Revenue&amp;EBITDA'!C79</f>
        <v>0.214382216</v>
      </c>
      <c r="D79" s="63">
        <f>'Quarterly Revenue&amp;EBITDA'!D194/'Quarterly Revenue&amp;EBITDA'!D79</f>
        <v>-0.08981092437</v>
      </c>
      <c r="E79" s="63">
        <f>'Quarterly Revenue&amp;EBITDA'!E194/'Quarterly Revenue&amp;EBITDA'!E79</f>
        <v>-0.3357771261</v>
      </c>
      <c r="F79" s="63">
        <f>'Quarterly Revenue&amp;EBITDA'!F194/'Quarterly Revenue&amp;EBITDA'!F79</f>
        <v>0.1079545455</v>
      </c>
      <c r="G79" s="63">
        <f>'Quarterly Revenue&amp;EBITDA'!G194/'Quarterly Revenue&amp;EBITDA'!G79</f>
        <v>0.001737766625</v>
      </c>
      <c r="H79" s="63">
        <f>'Quarterly Revenue&amp;EBITDA'!H194/'Quarterly Revenue&amp;EBITDA'!H79</f>
        <v>0.1861945789</v>
      </c>
      <c r="I79" s="63">
        <f>'Quarterly Revenue&amp;EBITDA'!I194/'Quarterly Revenue&amp;EBITDA'!I79</f>
        <v>0.02011578947</v>
      </c>
      <c r="J79" s="63">
        <f>'Quarterly Revenue&amp;EBITDA'!J194/'Quarterly Revenue&amp;EBITDA'!J79</f>
        <v>-0.5663636364</v>
      </c>
      <c r="K79" s="63"/>
      <c r="L79" s="63">
        <f>'Quarterly Revenue&amp;EBITDA'!L194/'Quarterly Revenue&amp;EBITDA'!L79</f>
        <v>0.3829773081</v>
      </c>
      <c r="M79" s="62"/>
      <c r="N79" s="63">
        <f>'Quarterly Revenue&amp;EBITDA'!N194/'Quarterly Revenue&amp;EBITDA'!N79</f>
        <v>-1.060341556</v>
      </c>
      <c r="O79" s="65">
        <f>'Quarterly Revenue&amp;EBITDA'!O194/'Quarterly Revenue&amp;EBITDA'!O79</f>
        <v>0.2379353939</v>
      </c>
      <c r="P79" s="62"/>
      <c r="Q79" s="62"/>
      <c r="R79" s="63"/>
      <c r="S79" s="63">
        <f>'Quarterly Revenue&amp;EBITDA'!S194/'Quarterly Revenue&amp;EBITDA'!S79</f>
        <v>0.08996597529</v>
      </c>
      <c r="T79" s="62"/>
      <c r="U79" s="62"/>
      <c r="V79" s="63"/>
      <c r="W79" s="63"/>
      <c r="X79" s="63">
        <f>'Quarterly Revenue&amp;EBITDA'!X194/'Quarterly Revenue&amp;EBITDA'!X79</f>
        <v>0.1610794364</v>
      </c>
      <c r="Y79" s="63">
        <f>'Quarterly Revenue&amp;EBITDA'!Y194/'Quarterly Revenue&amp;EBITDA'!Y79</f>
        <v>0.1071724042</v>
      </c>
      <c r="Z79" s="63">
        <f>'Quarterly Revenue&amp;EBITDA'!Z194/'Quarterly Revenue&amp;EBITDA'!Z79</f>
        <v>0.3430460003</v>
      </c>
      <c r="AA79" s="63">
        <f>'Quarterly Revenue&amp;EBITDA'!AA194/'Quarterly Revenue&amp;EBITDA'!AA79</f>
        <v>0.01901154555</v>
      </c>
      <c r="AB79" s="63"/>
      <c r="AC79" s="63">
        <f>'Quarterly Revenue&amp;EBITDA'!AC194/'Quarterly Revenue&amp;EBITDA'!AC79</f>
        <v>-0.7141492947</v>
      </c>
      <c r="AD79" s="43"/>
    </row>
    <row r="80">
      <c r="A80" s="42" t="s">
        <v>107</v>
      </c>
      <c r="B80" s="63">
        <f>'Quarterly Revenue&amp;EBITDA'!B195/'Quarterly Revenue&amp;EBITDA'!B80</f>
        <v>-0.08033035028</v>
      </c>
      <c r="C80" s="63">
        <f>'Quarterly Revenue&amp;EBITDA'!C195/'Quarterly Revenue&amp;EBITDA'!C80</f>
        <v>0.2709499218</v>
      </c>
      <c r="D80" s="63">
        <f>'Quarterly Revenue&amp;EBITDA'!D195/'Quarterly Revenue&amp;EBITDA'!D80</f>
        <v>-0.005553278689</v>
      </c>
      <c r="E80" s="63">
        <f>'Quarterly Revenue&amp;EBITDA'!E195/'Quarterly Revenue&amp;EBITDA'!E80</f>
        <v>-0.09649122807</v>
      </c>
      <c r="F80" s="63">
        <f>'Quarterly Revenue&amp;EBITDA'!F195/'Quarterly Revenue&amp;EBITDA'!F80</f>
        <v>0.1150895141</v>
      </c>
      <c r="G80" s="63">
        <f>'Quarterly Revenue&amp;EBITDA'!G195/'Quarterly Revenue&amp;EBITDA'!G80</f>
        <v>-0.2793296089</v>
      </c>
      <c r="H80" s="63">
        <f>'Quarterly Revenue&amp;EBITDA'!H195/'Quarterly Revenue&amp;EBITDA'!H80</f>
        <v>0.2056306891</v>
      </c>
      <c r="I80" s="63">
        <f>'Quarterly Revenue&amp;EBITDA'!I195/'Quarterly Revenue&amp;EBITDA'!I80</f>
        <v>0.02380808081</v>
      </c>
      <c r="J80" s="63">
        <f>'Quarterly Revenue&amp;EBITDA'!J195/'Quarterly Revenue&amp;EBITDA'!J80</f>
        <v>-0.1181818182</v>
      </c>
      <c r="K80" s="62"/>
      <c r="L80" s="63">
        <f>'Quarterly Revenue&amp;EBITDA'!L195/'Quarterly Revenue&amp;EBITDA'!L80</f>
        <v>0.4988474722</v>
      </c>
      <c r="M80" s="62"/>
      <c r="N80" s="63">
        <f>'Quarterly Revenue&amp;EBITDA'!N195/'Quarterly Revenue&amp;EBITDA'!N80</f>
        <v>-0.5516823688</v>
      </c>
      <c r="O80" s="65">
        <f>'Quarterly Revenue&amp;EBITDA'!O195/'Quarterly Revenue&amp;EBITDA'!O80</f>
        <v>0.2379353939</v>
      </c>
      <c r="P80" s="62"/>
      <c r="Q80" s="62"/>
      <c r="R80" s="63"/>
      <c r="S80" s="63">
        <f>'Quarterly Revenue&amp;EBITDA'!S195/'Quarterly Revenue&amp;EBITDA'!S80</f>
        <v>0.08996597529</v>
      </c>
      <c r="T80" s="63">
        <f>'Quarterly Revenue&amp;EBITDA'!T195/'Quarterly Revenue&amp;EBITDA'!T80</f>
        <v>0.1793505835</v>
      </c>
      <c r="U80" s="62"/>
      <c r="V80" s="63"/>
      <c r="W80" s="63"/>
      <c r="X80" s="63">
        <f>'Quarterly Revenue&amp;EBITDA'!X195/'Quarterly Revenue&amp;EBITDA'!X80</f>
        <v>0.1610794364</v>
      </c>
      <c r="Y80" s="63">
        <f>'Quarterly Revenue&amp;EBITDA'!Y195/'Quarterly Revenue&amp;EBITDA'!Y80</f>
        <v>0.1071724042</v>
      </c>
      <c r="Z80" s="63">
        <f>'Quarterly Revenue&amp;EBITDA'!Z195/'Quarterly Revenue&amp;EBITDA'!Z80</f>
        <v>0.3430460003</v>
      </c>
      <c r="AA80" s="63">
        <f>'Quarterly Revenue&amp;EBITDA'!AA195/'Quarterly Revenue&amp;EBITDA'!AA80</f>
        <v>0.01901154555</v>
      </c>
      <c r="AB80" s="63"/>
      <c r="AC80" s="63">
        <f>'Quarterly Revenue&amp;EBITDA'!AC195/'Quarterly Revenue&amp;EBITDA'!AC80</f>
        <v>-0.7141492947</v>
      </c>
      <c r="AD80" s="43"/>
    </row>
    <row r="81">
      <c r="A81" s="42" t="s">
        <v>108</v>
      </c>
      <c r="B81" s="63">
        <f>'Quarterly Revenue&amp;EBITDA'!B196/'Quarterly Revenue&amp;EBITDA'!B81</f>
        <v>-0.08033035028</v>
      </c>
      <c r="C81" s="63">
        <f>'Quarterly Revenue&amp;EBITDA'!C196/'Quarterly Revenue&amp;EBITDA'!C81</f>
        <v>0.2160753183</v>
      </c>
      <c r="D81" s="63">
        <f>'Quarterly Revenue&amp;EBITDA'!D196/'Quarterly Revenue&amp;EBITDA'!D81</f>
        <v>0.1315594731</v>
      </c>
      <c r="E81" s="63">
        <f>'Quarterly Revenue&amp;EBITDA'!E196/'Quarterly Revenue&amp;EBITDA'!E81</f>
        <v>0.05764705882</v>
      </c>
      <c r="F81" s="63">
        <f>'Quarterly Revenue&amp;EBITDA'!F196/'Quarterly Revenue&amp;EBITDA'!F81</f>
        <v>0.1496437055</v>
      </c>
      <c r="G81" s="63">
        <f>'Quarterly Revenue&amp;EBITDA'!G196/'Quarterly Revenue&amp;EBITDA'!G81</f>
        <v>-0.001198380567</v>
      </c>
      <c r="H81" s="63">
        <f>'Quarterly Revenue&amp;EBITDA'!H196/'Quarterly Revenue&amp;EBITDA'!H81</f>
        <v>0.2056306891</v>
      </c>
      <c r="I81" s="63">
        <f>'Quarterly Revenue&amp;EBITDA'!I196/'Quarterly Revenue&amp;EBITDA'!I81</f>
        <v>0.1737735849</v>
      </c>
      <c r="J81" s="63">
        <f>'Quarterly Revenue&amp;EBITDA'!J196/'Quarterly Revenue&amp;EBITDA'!J81</f>
        <v>-0.4746987952</v>
      </c>
      <c r="K81" s="62"/>
      <c r="L81" s="63">
        <f>'Quarterly Revenue&amp;EBITDA'!L196/'Quarterly Revenue&amp;EBITDA'!L81</f>
        <v>0.3751397773</v>
      </c>
      <c r="M81" s="62"/>
      <c r="N81" s="63">
        <f>'Quarterly Revenue&amp;EBITDA'!N196/'Quarterly Revenue&amp;EBITDA'!N81</f>
        <v>-0.4017094017</v>
      </c>
      <c r="O81" s="65">
        <f>'Quarterly Revenue&amp;EBITDA'!O196/'Quarterly Revenue&amp;EBITDA'!O81</f>
        <v>0.207005428</v>
      </c>
      <c r="P81" s="62"/>
      <c r="Q81" s="62"/>
      <c r="R81" s="63"/>
      <c r="S81" s="63">
        <f>'Quarterly Revenue&amp;EBITDA'!S196/'Quarterly Revenue&amp;EBITDA'!S81</f>
        <v>0.08996597529</v>
      </c>
      <c r="T81" s="63">
        <f>'Quarterly Revenue&amp;EBITDA'!T196/'Quarterly Revenue&amp;EBITDA'!T81</f>
        <v>0.1793505835</v>
      </c>
      <c r="U81" s="62"/>
      <c r="V81" s="63"/>
      <c r="W81" s="63"/>
      <c r="X81" s="63">
        <f>'Quarterly Revenue&amp;EBITDA'!X196/'Quarterly Revenue&amp;EBITDA'!X81</f>
        <v>0.1552715134</v>
      </c>
      <c r="Y81" s="63">
        <f>'Quarterly Revenue&amp;EBITDA'!Y196/'Quarterly Revenue&amp;EBITDA'!Y81</f>
        <v>0.1071724042</v>
      </c>
      <c r="Z81" s="63">
        <f>'Quarterly Revenue&amp;EBITDA'!Z196/'Quarterly Revenue&amp;EBITDA'!Z81</f>
        <v>0.3430460003</v>
      </c>
      <c r="AA81" s="63">
        <f>'Quarterly Revenue&amp;EBITDA'!AA196/'Quarterly Revenue&amp;EBITDA'!AA81</f>
        <v>0.01901154555</v>
      </c>
      <c r="AB81" s="63"/>
      <c r="AC81" s="63">
        <f>'Quarterly Revenue&amp;EBITDA'!AC196/'Quarterly Revenue&amp;EBITDA'!AC81</f>
        <v>-0.7141492947</v>
      </c>
      <c r="AD81" s="43"/>
    </row>
    <row r="82">
      <c r="A82" s="42" t="s">
        <v>109</v>
      </c>
      <c r="B82" s="63">
        <f>'Quarterly Revenue&amp;EBITDA'!B197/'Quarterly Revenue&amp;EBITDA'!B82</f>
        <v>-0.08033035028</v>
      </c>
      <c r="C82" s="63">
        <f>'Quarterly Revenue&amp;EBITDA'!C197/'Quarterly Revenue&amp;EBITDA'!C82</f>
        <v>0.3249574106</v>
      </c>
      <c r="D82" s="63">
        <f>'Quarterly Revenue&amp;EBITDA'!D197/'Quarterly Revenue&amp;EBITDA'!D82</f>
        <v>0.05494505495</v>
      </c>
      <c r="E82" s="63">
        <f>'Quarterly Revenue&amp;EBITDA'!E197/'Quarterly Revenue&amp;EBITDA'!E82</f>
        <v>-0.03351206434</v>
      </c>
      <c r="F82" s="63">
        <f>'Quarterly Revenue&amp;EBITDA'!F197/'Quarterly Revenue&amp;EBITDA'!F82</f>
        <v>0.01265822785</v>
      </c>
      <c r="G82" s="63">
        <f>'Quarterly Revenue&amp;EBITDA'!G197/'Quarterly Revenue&amp;EBITDA'!G82</f>
        <v>0.03076923077</v>
      </c>
      <c r="H82" s="63">
        <f>'Quarterly Revenue&amp;EBITDA'!H197/'Quarterly Revenue&amp;EBITDA'!H82</f>
        <v>0.2056306891</v>
      </c>
      <c r="I82" s="63">
        <f>'Quarterly Revenue&amp;EBITDA'!I197/'Quarterly Revenue&amp;EBITDA'!I82</f>
        <v>0.05045045045</v>
      </c>
      <c r="J82" s="63">
        <f>'Quarterly Revenue&amp;EBITDA'!J197/'Quarterly Revenue&amp;EBITDA'!J82</f>
        <v>0.1350243902</v>
      </c>
      <c r="K82" s="62"/>
      <c r="L82" s="63">
        <f>'Quarterly Revenue&amp;EBITDA'!L197/'Quarterly Revenue&amp;EBITDA'!L82</f>
        <v>0.3003437671</v>
      </c>
      <c r="M82" s="62"/>
      <c r="N82" s="63">
        <f>'Quarterly Revenue&amp;EBITDA'!N197/'Quarterly Revenue&amp;EBITDA'!N82</f>
        <v>-0.5020924574</v>
      </c>
      <c r="O82" s="65">
        <f>'Quarterly Revenue&amp;EBITDA'!O197/'Quarterly Revenue&amp;EBITDA'!O82</f>
        <v>0.207005428</v>
      </c>
      <c r="P82" s="62"/>
      <c r="Q82" s="62"/>
      <c r="R82" s="63"/>
      <c r="S82" s="63">
        <f>'Quarterly Revenue&amp;EBITDA'!S197/'Quarterly Revenue&amp;EBITDA'!S82</f>
        <v>0.08996597529</v>
      </c>
      <c r="T82" s="63">
        <f>'Quarterly Revenue&amp;EBITDA'!T197/'Quarterly Revenue&amp;EBITDA'!T82</f>
        <v>0.1793505835</v>
      </c>
      <c r="U82" s="62"/>
      <c r="V82" s="63"/>
      <c r="W82" s="63"/>
      <c r="X82" s="63">
        <f>'Quarterly Revenue&amp;EBITDA'!X197/'Quarterly Revenue&amp;EBITDA'!X82</f>
        <v>0.1552715134</v>
      </c>
      <c r="Y82" s="63">
        <f>'Quarterly Revenue&amp;EBITDA'!Y197/'Quarterly Revenue&amp;EBITDA'!Y82</f>
        <v>0.1071724042</v>
      </c>
      <c r="Z82" s="63">
        <f>'Quarterly Revenue&amp;EBITDA'!Z197/'Quarterly Revenue&amp;EBITDA'!Z82</f>
        <v>0.3430460003</v>
      </c>
      <c r="AA82" s="63">
        <f>'Quarterly Revenue&amp;EBITDA'!AA197/'Quarterly Revenue&amp;EBITDA'!AA82</f>
        <v>0.01901154555</v>
      </c>
      <c r="AB82" s="63"/>
      <c r="AC82" s="63">
        <f>'Quarterly Revenue&amp;EBITDA'!AC197/'Quarterly Revenue&amp;EBITDA'!AC82</f>
        <v>-0.7141492947</v>
      </c>
      <c r="AD82" s="43"/>
    </row>
    <row r="83">
      <c r="A83" s="42" t="s">
        <v>110</v>
      </c>
      <c r="B83" s="63">
        <f>'Quarterly Revenue&amp;EBITDA'!B198/'Quarterly Revenue&amp;EBITDA'!B83</f>
        <v>-0.0007885323968</v>
      </c>
      <c r="C83" s="63">
        <f>'Quarterly Revenue&amp;EBITDA'!C198/'Quarterly Revenue&amp;EBITDA'!C83</f>
        <v>0.2180743687</v>
      </c>
      <c r="D83" s="63">
        <f>'Quarterly Revenue&amp;EBITDA'!D198/'Quarterly Revenue&amp;EBITDA'!D83</f>
        <v>-0.05984467794</v>
      </c>
      <c r="E83" s="63">
        <f>'Quarterly Revenue&amp;EBITDA'!E198/'Quarterly Revenue&amp;EBITDA'!E83</f>
        <v>0.03142536476</v>
      </c>
      <c r="F83" s="63">
        <f>'Quarterly Revenue&amp;EBITDA'!F198/'Quarterly Revenue&amp;EBITDA'!F83</f>
        <v>0.06720430108</v>
      </c>
      <c r="G83" s="63">
        <f>'Quarterly Revenue&amp;EBITDA'!G198/'Quarterly Revenue&amp;EBITDA'!G83</f>
        <v>0.04618074756</v>
      </c>
      <c r="H83" s="63">
        <f>'Quarterly Revenue&amp;EBITDA'!H198/'Quarterly Revenue&amp;EBITDA'!H83</f>
        <v>0.2056306891</v>
      </c>
      <c r="I83" s="63">
        <f>'Quarterly Revenue&amp;EBITDA'!I198/'Quarterly Revenue&amp;EBITDA'!I83</f>
        <v>0.1430411443</v>
      </c>
      <c r="J83" s="63">
        <f>'Quarterly Revenue&amp;EBITDA'!J198/'Quarterly Revenue&amp;EBITDA'!J83</f>
        <v>-0.6088658952</v>
      </c>
      <c r="K83" s="62"/>
      <c r="L83" s="63">
        <f>'Quarterly Revenue&amp;EBITDA'!L198/'Quarterly Revenue&amp;EBITDA'!L83</f>
        <v>0.3043211001</v>
      </c>
      <c r="M83" s="62"/>
      <c r="N83" s="63">
        <f>'Quarterly Revenue&amp;EBITDA'!N198/'Quarterly Revenue&amp;EBITDA'!N83</f>
        <v>-0.09871987952</v>
      </c>
      <c r="O83" s="65">
        <f>'Quarterly Revenue&amp;EBITDA'!O198/'Quarterly Revenue&amp;EBITDA'!O83</f>
        <v>0.207005428</v>
      </c>
      <c r="P83" s="62"/>
      <c r="Q83" s="62"/>
      <c r="R83" s="63"/>
      <c r="S83" s="63">
        <f>'Quarterly Revenue&amp;EBITDA'!S198/'Quarterly Revenue&amp;EBITDA'!S83</f>
        <v>0.0328238004</v>
      </c>
      <c r="T83" s="63">
        <f>'Quarterly Revenue&amp;EBITDA'!T198/'Quarterly Revenue&amp;EBITDA'!T83</f>
        <v>0.1793505835</v>
      </c>
      <c r="U83" s="62"/>
      <c r="V83" s="63"/>
      <c r="W83" s="63"/>
      <c r="X83" s="63">
        <f>'Quarterly Revenue&amp;EBITDA'!X198/'Quarterly Revenue&amp;EBITDA'!X83</f>
        <v>0.1552715134</v>
      </c>
      <c r="Y83" s="63">
        <f>'Quarterly Revenue&amp;EBITDA'!Y198/'Quarterly Revenue&amp;EBITDA'!Y83</f>
        <v>0.112365373</v>
      </c>
      <c r="Z83" s="63">
        <f>'Quarterly Revenue&amp;EBITDA'!Z198/'Quarterly Revenue&amp;EBITDA'!Z83</f>
        <v>0.3303657946</v>
      </c>
      <c r="AA83" s="63">
        <f>'Quarterly Revenue&amp;EBITDA'!AA198/'Quarterly Revenue&amp;EBITDA'!AA83</f>
        <v>0.01297986484</v>
      </c>
      <c r="AB83" s="63">
        <f>'Quarterly Revenue&amp;EBITDA'!AB198/'Quarterly Revenue&amp;EBITDA'!AB83</f>
        <v>-0.1160791948</v>
      </c>
      <c r="AC83" s="63">
        <f>'Quarterly Revenue&amp;EBITDA'!AC198/'Quarterly Revenue&amp;EBITDA'!AC83</f>
        <v>-1.708760268</v>
      </c>
      <c r="AD83" s="43"/>
    </row>
    <row r="84">
      <c r="A84" s="42" t="s">
        <v>111</v>
      </c>
      <c r="B84" s="63">
        <f>'Quarterly Revenue&amp;EBITDA'!B199/'Quarterly Revenue&amp;EBITDA'!B84</f>
        <v>-0.0007885323968</v>
      </c>
      <c r="C84" s="63">
        <f>'Quarterly Revenue&amp;EBITDA'!C199/'Quarterly Revenue&amp;EBITDA'!C84</f>
        <v>0.2853698196</v>
      </c>
      <c r="D84" s="63">
        <f>'Quarterly Revenue&amp;EBITDA'!D199/'Quarterly Revenue&amp;EBITDA'!D84</f>
        <v>0.02204176334</v>
      </c>
      <c r="E84" s="63">
        <f>'Quarterly Revenue&amp;EBITDA'!E199/'Quarterly Revenue&amp;EBITDA'!E84</f>
        <v>0.1406086044</v>
      </c>
      <c r="F84" s="63">
        <f>'Quarterly Revenue&amp;EBITDA'!F199/'Quarterly Revenue&amp;EBITDA'!F84</f>
        <v>0.1037735849</v>
      </c>
      <c r="G84" s="63">
        <f>'Quarterly Revenue&amp;EBITDA'!G199/'Quarterly Revenue&amp;EBITDA'!G84</f>
        <v>-0.01027700311</v>
      </c>
      <c r="H84" s="63">
        <f>'Quarterly Revenue&amp;EBITDA'!H199/'Quarterly Revenue&amp;EBITDA'!H84</f>
        <v>0.190936107</v>
      </c>
      <c r="I84" s="63">
        <f>'Quarterly Revenue&amp;EBITDA'!I199/'Quarterly Revenue&amp;EBITDA'!I84</f>
        <v>0.058450767</v>
      </c>
      <c r="J84" s="63">
        <f>'Quarterly Revenue&amp;EBITDA'!J199/'Quarterly Revenue&amp;EBITDA'!J84</f>
        <v>-0.3562242263</v>
      </c>
      <c r="K84" s="62"/>
      <c r="L84" s="63">
        <f>'Quarterly Revenue&amp;EBITDA'!L199/'Quarterly Revenue&amp;EBITDA'!L84</f>
        <v>0.3654812498</v>
      </c>
      <c r="M84" s="62"/>
      <c r="N84" s="63">
        <f>'Quarterly Revenue&amp;EBITDA'!N199/'Quarterly Revenue&amp;EBITDA'!N84</f>
        <v>-0.6740285619</v>
      </c>
      <c r="O84" s="65">
        <f>'Quarterly Revenue&amp;EBITDA'!O199/'Quarterly Revenue&amp;EBITDA'!O84</f>
        <v>0.207005428</v>
      </c>
      <c r="P84" s="62"/>
      <c r="Q84" s="62"/>
      <c r="R84" s="63"/>
      <c r="S84" s="63">
        <f>'Quarterly Revenue&amp;EBITDA'!S199/'Quarterly Revenue&amp;EBITDA'!S84</f>
        <v>0.0328238004</v>
      </c>
      <c r="T84" s="63">
        <f>'Quarterly Revenue&amp;EBITDA'!T199/'Quarterly Revenue&amp;EBITDA'!T84</f>
        <v>0.06183969209</v>
      </c>
      <c r="U84" s="62"/>
      <c r="V84" s="63"/>
      <c r="W84" s="63"/>
      <c r="X84" s="63">
        <f>'Quarterly Revenue&amp;EBITDA'!X199/'Quarterly Revenue&amp;EBITDA'!X84</f>
        <v>0.1552715134</v>
      </c>
      <c r="Y84" s="63">
        <f>'Quarterly Revenue&amp;EBITDA'!Y199/'Quarterly Revenue&amp;EBITDA'!Y84</f>
        <v>0.112365373</v>
      </c>
      <c r="Z84" s="63">
        <f>'Quarterly Revenue&amp;EBITDA'!Z199/'Quarterly Revenue&amp;EBITDA'!Z84</f>
        <v>0.3303657946</v>
      </c>
      <c r="AA84" s="63">
        <f>'Quarterly Revenue&amp;EBITDA'!AA199/'Quarterly Revenue&amp;EBITDA'!AA84</f>
        <v>0.01297986484</v>
      </c>
      <c r="AB84" s="63">
        <f>'Quarterly Revenue&amp;EBITDA'!AB199/'Quarterly Revenue&amp;EBITDA'!AB84</f>
        <v>-0.1160791948</v>
      </c>
      <c r="AC84" s="63">
        <f>'Quarterly Revenue&amp;EBITDA'!AC199/'Quarterly Revenue&amp;EBITDA'!AC84</f>
        <v>-1.708760268</v>
      </c>
      <c r="AD84" s="43"/>
    </row>
    <row r="85">
      <c r="A85" s="42" t="s">
        <v>112</v>
      </c>
      <c r="B85" s="63">
        <f>'Quarterly Revenue&amp;EBITDA'!B200/'Quarterly Revenue&amp;EBITDA'!B85</f>
        <v>-0.0007885323968</v>
      </c>
      <c r="C85" s="63">
        <f>'Quarterly Revenue&amp;EBITDA'!C200/'Quarterly Revenue&amp;EBITDA'!C85</f>
        <v>0.4661324948</v>
      </c>
      <c r="D85" s="63">
        <f>'Quarterly Revenue&amp;EBITDA'!D200/'Quarterly Revenue&amp;EBITDA'!D85</f>
        <v>0.1399190829</v>
      </c>
      <c r="E85" s="63">
        <f>'Quarterly Revenue&amp;EBITDA'!E200/'Quarterly Revenue&amp;EBITDA'!E85</f>
        <v>0.1939799331</v>
      </c>
      <c r="F85" s="63">
        <f>'Quarterly Revenue&amp;EBITDA'!F200/'Quarterly Revenue&amp;EBITDA'!F85</f>
        <v>0.08656036446</v>
      </c>
      <c r="G85" s="63">
        <f>'Quarterly Revenue&amp;EBITDA'!G200/'Quarterly Revenue&amp;EBITDA'!G85</f>
        <v>-0.04866254429</v>
      </c>
      <c r="H85" s="63">
        <f>'Quarterly Revenue&amp;EBITDA'!H200/'Quarterly Revenue&amp;EBITDA'!H85</f>
        <v>0.229876161</v>
      </c>
      <c r="I85" s="63">
        <f>'Quarterly Revenue&amp;EBITDA'!I200/'Quarterly Revenue&amp;EBITDA'!I85</f>
        <v>0.1171159522</v>
      </c>
      <c r="J85" s="63">
        <f>'Quarterly Revenue&amp;EBITDA'!J200/'Quarterly Revenue&amp;EBITDA'!J85</f>
        <v>-0.4072209107</v>
      </c>
      <c r="K85" s="62"/>
      <c r="L85" s="63">
        <f>'Quarterly Revenue&amp;EBITDA'!L200/'Quarterly Revenue&amp;EBITDA'!L85</f>
        <v>0.2842389474</v>
      </c>
      <c r="M85" s="62"/>
      <c r="N85" s="63">
        <f>'Quarterly Revenue&amp;EBITDA'!N200/'Quarterly Revenue&amp;EBITDA'!N85</f>
        <v>-0.157156048</v>
      </c>
      <c r="O85" s="65">
        <f>'Quarterly Revenue&amp;EBITDA'!O200/'Quarterly Revenue&amp;EBITDA'!O85</f>
        <v>0.1159203184</v>
      </c>
      <c r="P85" s="62"/>
      <c r="Q85" s="62"/>
      <c r="R85" s="63"/>
      <c r="S85" s="63">
        <f>'Quarterly Revenue&amp;EBITDA'!S200/'Quarterly Revenue&amp;EBITDA'!S85</f>
        <v>0.0328238004</v>
      </c>
      <c r="T85" s="63">
        <f>'Quarterly Revenue&amp;EBITDA'!T200/'Quarterly Revenue&amp;EBITDA'!T85</f>
        <v>0.06183969209</v>
      </c>
      <c r="U85" s="62"/>
      <c r="V85" s="63"/>
      <c r="W85" s="63"/>
      <c r="X85" s="63">
        <f>'Quarterly Revenue&amp;EBITDA'!X200/'Quarterly Revenue&amp;EBITDA'!X85</f>
        <v>0.1446368782</v>
      </c>
      <c r="Y85" s="63">
        <f>'Quarterly Revenue&amp;EBITDA'!Y200/'Quarterly Revenue&amp;EBITDA'!Y85</f>
        <v>0.112365373</v>
      </c>
      <c r="Z85" s="63">
        <f>'Quarterly Revenue&amp;EBITDA'!Z200/'Quarterly Revenue&amp;EBITDA'!Z85</f>
        <v>0.3303657946</v>
      </c>
      <c r="AA85" s="63">
        <f>'Quarterly Revenue&amp;EBITDA'!AA200/'Quarterly Revenue&amp;EBITDA'!AA85</f>
        <v>0.01297986484</v>
      </c>
      <c r="AB85" s="63">
        <f>'Quarterly Revenue&amp;EBITDA'!AB200/'Quarterly Revenue&amp;EBITDA'!AB85</f>
        <v>-0.1160791948</v>
      </c>
      <c r="AC85" s="63">
        <f>'Quarterly Revenue&amp;EBITDA'!AC200/'Quarterly Revenue&amp;EBITDA'!AC85</f>
        <v>-1.708760268</v>
      </c>
      <c r="AD85" s="43"/>
    </row>
    <row r="86">
      <c r="A86" s="42" t="s">
        <v>113</v>
      </c>
      <c r="B86" s="63">
        <f>'Quarterly Revenue&amp;EBITDA'!B201/'Quarterly Revenue&amp;EBITDA'!B86</f>
        <v>-0.0007885323968</v>
      </c>
      <c r="C86" s="63">
        <f>'Quarterly Revenue&amp;EBITDA'!C201/'Quarterly Revenue&amp;EBITDA'!C86</f>
        <v>0.336068498</v>
      </c>
      <c r="D86" s="63">
        <f>'Quarterly Revenue&amp;EBITDA'!D201/'Quarterly Revenue&amp;EBITDA'!D86</f>
        <v>0.03277274687</v>
      </c>
      <c r="E86" s="63">
        <f>'Quarterly Revenue&amp;EBITDA'!E201/'Quarterly Revenue&amp;EBITDA'!E86</f>
        <v>0.1336032389</v>
      </c>
      <c r="F86" s="63">
        <f>'Quarterly Revenue&amp;EBITDA'!F201/'Quarterly Revenue&amp;EBITDA'!F86</f>
        <v>0.009345794393</v>
      </c>
      <c r="G86" s="63">
        <f>'Quarterly Revenue&amp;EBITDA'!G201/'Quarterly Revenue&amp;EBITDA'!G86</f>
        <v>-0.07215370463</v>
      </c>
      <c r="H86" s="63">
        <f>'Quarterly Revenue&amp;EBITDA'!H201/'Quarterly Revenue&amp;EBITDA'!H86</f>
        <v>0.2440737489</v>
      </c>
      <c r="I86" s="63">
        <f>'Quarterly Revenue&amp;EBITDA'!I201/'Quarterly Revenue&amp;EBITDA'!I86</f>
        <v>0.09631208727</v>
      </c>
      <c r="J86" s="63">
        <f>'Quarterly Revenue&amp;EBITDA'!J201/'Quarterly Revenue&amp;EBITDA'!J86</f>
        <v>-0.2634090342</v>
      </c>
      <c r="K86" s="62"/>
      <c r="L86" s="63">
        <f>'Quarterly Revenue&amp;EBITDA'!L201/'Quarterly Revenue&amp;EBITDA'!L86</f>
        <v>0.05117693221</v>
      </c>
      <c r="M86" s="62"/>
      <c r="N86" s="63">
        <f>'Quarterly Revenue&amp;EBITDA'!N201/'Quarterly Revenue&amp;EBITDA'!N86</f>
        <v>-0.8138898392</v>
      </c>
      <c r="O86" s="65">
        <f>'Quarterly Revenue&amp;EBITDA'!O201/'Quarterly Revenue&amp;EBITDA'!O86</f>
        <v>0.1159203184</v>
      </c>
      <c r="P86" s="62"/>
      <c r="Q86" s="62"/>
      <c r="R86" s="63"/>
      <c r="S86" s="63">
        <f>'Quarterly Revenue&amp;EBITDA'!S201/'Quarterly Revenue&amp;EBITDA'!S86</f>
        <v>0.0328238004</v>
      </c>
      <c r="T86" s="63">
        <f>'Quarterly Revenue&amp;EBITDA'!T201/'Quarterly Revenue&amp;EBITDA'!T86</f>
        <v>0.06183969209</v>
      </c>
      <c r="U86" s="62"/>
      <c r="V86" s="63"/>
      <c r="W86" s="63"/>
      <c r="X86" s="63">
        <f>'Quarterly Revenue&amp;EBITDA'!X201/'Quarterly Revenue&amp;EBITDA'!X86</f>
        <v>0.1446368782</v>
      </c>
      <c r="Y86" s="63">
        <f>'Quarterly Revenue&amp;EBITDA'!Y201/'Quarterly Revenue&amp;EBITDA'!Y86</f>
        <v>0.112365373</v>
      </c>
      <c r="Z86" s="63">
        <f>'Quarterly Revenue&amp;EBITDA'!Z201/'Quarterly Revenue&amp;EBITDA'!Z86</f>
        <v>0.3303657946</v>
      </c>
      <c r="AA86" s="63">
        <f>'Quarterly Revenue&amp;EBITDA'!AA201/'Quarterly Revenue&amp;EBITDA'!AA86</f>
        <v>0.01297986484</v>
      </c>
      <c r="AB86" s="63">
        <f>'Quarterly Revenue&amp;EBITDA'!AB201/'Quarterly Revenue&amp;EBITDA'!AB86</f>
        <v>-0.1160791948</v>
      </c>
      <c r="AC86" s="63">
        <f>'Quarterly Revenue&amp;EBITDA'!AC201/'Quarterly Revenue&amp;EBITDA'!AC86</f>
        <v>-1.708760268</v>
      </c>
      <c r="AD86" s="43"/>
    </row>
    <row r="87">
      <c r="A87" s="42" t="s">
        <v>114</v>
      </c>
      <c r="B87" s="63">
        <f>'Quarterly Revenue&amp;EBITDA'!B202/'Quarterly Revenue&amp;EBITDA'!B87</f>
        <v>0.02769589689</v>
      </c>
      <c r="C87" s="63">
        <f>'Quarterly Revenue&amp;EBITDA'!C202/'Quarterly Revenue&amp;EBITDA'!C87</f>
        <v>0.2572695659</v>
      </c>
      <c r="D87" s="63">
        <f>'Quarterly Revenue&amp;EBITDA'!D202/'Quarterly Revenue&amp;EBITDA'!D87</f>
        <v>-0.06738437002</v>
      </c>
      <c r="E87" s="63">
        <f>'Quarterly Revenue&amp;EBITDA'!E202/'Quarterly Revenue&amp;EBITDA'!E87</f>
        <v>0.1705282669</v>
      </c>
      <c r="F87" s="63">
        <f>'Quarterly Revenue&amp;EBITDA'!F202/'Quarterly Revenue&amp;EBITDA'!F87</f>
        <v>0.05555555556</v>
      </c>
      <c r="G87" s="63">
        <f>'Quarterly Revenue&amp;EBITDA'!G202/'Quarterly Revenue&amp;EBITDA'!G87</f>
        <v>-0.1123209081</v>
      </c>
      <c r="H87" s="63">
        <f>'Quarterly Revenue&amp;EBITDA'!H202/'Quarterly Revenue&amp;EBITDA'!H87</f>
        <v>0.1897289586</v>
      </c>
      <c r="I87" s="63">
        <f>'Quarterly Revenue&amp;EBITDA'!I202/'Quarterly Revenue&amp;EBITDA'!I87</f>
        <v>0.1385866091</v>
      </c>
      <c r="J87" s="63">
        <f>'Quarterly Revenue&amp;EBITDA'!J202/'Quarterly Revenue&amp;EBITDA'!J87</f>
        <v>-0.2790198091</v>
      </c>
      <c r="K87" s="62"/>
      <c r="L87" s="63">
        <f>'Quarterly Revenue&amp;EBITDA'!L202/'Quarterly Revenue&amp;EBITDA'!L87</f>
        <v>0.1904706225</v>
      </c>
      <c r="M87" s="62"/>
      <c r="N87" s="63">
        <f>'Quarterly Revenue&amp;EBITDA'!N202/'Quarterly Revenue&amp;EBITDA'!N87</f>
        <v>0.05994530085</v>
      </c>
      <c r="O87" s="65">
        <f>'Quarterly Revenue&amp;EBITDA'!O202/'Quarterly Revenue&amp;EBITDA'!O87</f>
        <v>0.1159203184</v>
      </c>
      <c r="P87" s="62"/>
      <c r="Q87" s="62"/>
      <c r="R87" s="63"/>
      <c r="S87" s="63">
        <f>'Quarterly Revenue&amp;EBITDA'!S202/'Quarterly Revenue&amp;EBITDA'!S87</f>
        <v>0.09504967141</v>
      </c>
      <c r="T87" s="63">
        <f>'Quarterly Revenue&amp;EBITDA'!T202/'Quarterly Revenue&amp;EBITDA'!T87</f>
        <v>0.06183969209</v>
      </c>
      <c r="U87" s="62"/>
      <c r="V87" s="63"/>
      <c r="W87" s="63"/>
      <c r="X87" s="63">
        <f>'Quarterly Revenue&amp;EBITDA'!X202/'Quarterly Revenue&amp;EBITDA'!X87</f>
        <v>0.1446368782</v>
      </c>
      <c r="Y87" s="63">
        <f>'Quarterly Revenue&amp;EBITDA'!Y202/'Quarterly Revenue&amp;EBITDA'!Y87</f>
        <v>0.164428773</v>
      </c>
      <c r="Z87" s="63">
        <f>'Quarterly Revenue&amp;EBITDA'!Z202/'Quarterly Revenue&amp;EBITDA'!Z87</f>
        <v>0.1930010765</v>
      </c>
      <c r="AA87" s="63">
        <f>'Quarterly Revenue&amp;EBITDA'!AA202/'Quarterly Revenue&amp;EBITDA'!AA87</f>
        <v>0.007614139273</v>
      </c>
      <c r="AB87" s="63">
        <f>'Quarterly Revenue&amp;EBITDA'!AB202/'Quarterly Revenue&amp;EBITDA'!AB87</f>
        <v>-0.03136120043</v>
      </c>
      <c r="AC87" s="63">
        <f>'Quarterly Revenue&amp;EBITDA'!AC202/'Quarterly Revenue&amp;EBITDA'!AC87</f>
        <v>-1.033923724</v>
      </c>
      <c r="AD87" s="43"/>
    </row>
    <row r="88">
      <c r="A88" s="42" t="s">
        <v>115</v>
      </c>
      <c r="B88" s="63">
        <f>'Quarterly Revenue&amp;EBITDA'!B203/'Quarterly Revenue&amp;EBITDA'!B88</f>
        <v>0.02769589689</v>
      </c>
      <c r="C88" s="63">
        <f>'Quarterly Revenue&amp;EBITDA'!C203/'Quarterly Revenue&amp;EBITDA'!C88</f>
        <v>0.3417808517</v>
      </c>
      <c r="D88" s="63">
        <f>'Quarterly Revenue&amp;EBITDA'!D203/'Quarterly Revenue&amp;EBITDA'!D88</f>
        <v>-0.004861111111</v>
      </c>
      <c r="E88" s="63">
        <f>'Quarterly Revenue&amp;EBITDA'!E203/'Quarterly Revenue&amp;EBITDA'!E88</f>
        <v>0.3992805755</v>
      </c>
      <c r="F88" s="63">
        <f>'Quarterly Revenue&amp;EBITDA'!F203/'Quarterly Revenue&amp;EBITDA'!F88</f>
        <v>0.09699769053</v>
      </c>
      <c r="G88" s="63">
        <f>'Quarterly Revenue&amp;EBITDA'!G203/'Quarterly Revenue&amp;EBITDA'!G88</f>
        <v>-0.116094111</v>
      </c>
      <c r="H88" s="63">
        <f>'Quarterly Revenue&amp;EBITDA'!H203/'Quarterly Revenue&amp;EBITDA'!H88</f>
        <v>0.190936107</v>
      </c>
      <c r="I88" s="63">
        <f>'Quarterly Revenue&amp;EBITDA'!I203/'Quarterly Revenue&amp;EBITDA'!I88</f>
        <v>0.01334019445</v>
      </c>
      <c r="J88" s="63">
        <f>'Quarterly Revenue&amp;EBITDA'!J203/'Quarterly Revenue&amp;EBITDA'!J88</f>
        <v>-0.372578415</v>
      </c>
      <c r="K88" s="63"/>
      <c r="L88" s="63">
        <f>'Quarterly Revenue&amp;EBITDA'!L203/'Quarterly Revenue&amp;EBITDA'!L88</f>
        <v>0.3504133497</v>
      </c>
      <c r="M88" s="62"/>
      <c r="N88" s="63">
        <f>'Quarterly Revenue&amp;EBITDA'!N203/'Quarterly Revenue&amp;EBITDA'!N88</f>
        <v>-0.09373993096</v>
      </c>
      <c r="O88" s="65">
        <f>'Quarterly Revenue&amp;EBITDA'!O203/'Quarterly Revenue&amp;EBITDA'!O88</f>
        <v>0.1159203184</v>
      </c>
      <c r="P88" s="62"/>
      <c r="Q88" s="62"/>
      <c r="R88" s="63"/>
      <c r="S88" s="63">
        <f>'Quarterly Revenue&amp;EBITDA'!S203/'Quarterly Revenue&amp;EBITDA'!S88</f>
        <v>0.09504967141</v>
      </c>
      <c r="T88" s="63">
        <f>'Quarterly Revenue&amp;EBITDA'!T203/'Quarterly Revenue&amp;EBITDA'!T88</f>
        <v>0.1699136868</v>
      </c>
      <c r="U88" s="62"/>
      <c r="V88" s="63"/>
      <c r="W88" s="63"/>
      <c r="X88" s="63">
        <f>'Quarterly Revenue&amp;EBITDA'!X203/'Quarterly Revenue&amp;EBITDA'!X88</f>
        <v>0.1446368782</v>
      </c>
      <c r="Y88" s="63">
        <f>'Quarterly Revenue&amp;EBITDA'!Y203/'Quarterly Revenue&amp;EBITDA'!Y88</f>
        <v>0.164428773</v>
      </c>
      <c r="Z88" s="63">
        <f>'Quarterly Revenue&amp;EBITDA'!Z203/'Quarterly Revenue&amp;EBITDA'!Z88</f>
        <v>0.1930010765</v>
      </c>
      <c r="AA88" s="63">
        <f>'Quarterly Revenue&amp;EBITDA'!AA203/'Quarterly Revenue&amp;EBITDA'!AA88</f>
        <v>0.007614139273</v>
      </c>
      <c r="AB88" s="63">
        <f>'Quarterly Revenue&amp;EBITDA'!AB203/'Quarterly Revenue&amp;EBITDA'!AB88</f>
        <v>-0.03136120043</v>
      </c>
      <c r="AC88" s="63">
        <f>'Quarterly Revenue&amp;EBITDA'!AC203/'Quarterly Revenue&amp;EBITDA'!AC88</f>
        <v>-1.033923724</v>
      </c>
      <c r="AD88" s="43"/>
    </row>
    <row r="89">
      <c r="A89" s="42" t="s">
        <v>116</v>
      </c>
      <c r="B89" s="63">
        <f>'Quarterly Revenue&amp;EBITDA'!B204/'Quarterly Revenue&amp;EBITDA'!B89</f>
        <v>0.02769589689</v>
      </c>
      <c r="C89" s="63">
        <f>'Quarterly Revenue&amp;EBITDA'!C204/'Quarterly Revenue&amp;EBITDA'!C89</f>
        <v>0.4621168095</v>
      </c>
      <c r="D89" s="63">
        <f>'Quarterly Revenue&amp;EBITDA'!D204/'Quarterly Revenue&amp;EBITDA'!D89</f>
        <v>0.1868131868</v>
      </c>
      <c r="E89" s="63">
        <f>'Quarterly Revenue&amp;EBITDA'!E204/'Quarterly Revenue&amp;EBITDA'!E89</f>
        <v>-0.1081871345</v>
      </c>
      <c r="F89" s="63">
        <f>'Quarterly Revenue&amp;EBITDA'!F204/'Quarterly Revenue&amp;EBITDA'!F89</f>
        <v>0.1899563319</v>
      </c>
      <c r="G89" s="63">
        <f>'Quarterly Revenue&amp;EBITDA'!G204/'Quarterly Revenue&amp;EBITDA'!G89</f>
        <v>0.06727899872</v>
      </c>
      <c r="H89" s="63">
        <f>'Quarterly Revenue&amp;EBITDA'!H204/'Quarterly Revenue&amp;EBITDA'!H89</f>
        <v>0.1941309255</v>
      </c>
      <c r="I89" s="63">
        <f>'Quarterly Revenue&amp;EBITDA'!I204/'Quarterly Revenue&amp;EBITDA'!I89</f>
        <v>-0.01628906282</v>
      </c>
      <c r="J89" s="63">
        <f>'Quarterly Revenue&amp;EBITDA'!J204/'Quarterly Revenue&amp;EBITDA'!J89</f>
        <v>-0.4535802874</v>
      </c>
      <c r="K89" s="63"/>
      <c r="L89" s="63">
        <f>'Quarterly Revenue&amp;EBITDA'!L204/'Quarterly Revenue&amp;EBITDA'!L89</f>
        <v>-0.6749450687</v>
      </c>
      <c r="M89" s="62"/>
      <c r="N89" s="63">
        <f>'Quarterly Revenue&amp;EBITDA'!N204/'Quarterly Revenue&amp;EBITDA'!N89</f>
        <v>-0.07431929481</v>
      </c>
      <c r="O89" s="65">
        <f>'Quarterly Revenue&amp;EBITDA'!O204/'Quarterly Revenue&amp;EBITDA'!O89</f>
        <v>0.1882821388</v>
      </c>
      <c r="P89" s="62"/>
      <c r="Q89" s="62"/>
      <c r="R89" s="63"/>
      <c r="S89" s="63">
        <f>'Quarterly Revenue&amp;EBITDA'!S204/'Quarterly Revenue&amp;EBITDA'!S89</f>
        <v>0.09504967141</v>
      </c>
      <c r="T89" s="63">
        <f>'Quarterly Revenue&amp;EBITDA'!T204/'Quarterly Revenue&amp;EBITDA'!T89</f>
        <v>0.1699136868</v>
      </c>
      <c r="U89" s="62"/>
      <c r="V89" s="63"/>
      <c r="W89" s="63"/>
      <c r="X89" s="63">
        <f>'Quarterly Revenue&amp;EBITDA'!X204/'Quarterly Revenue&amp;EBITDA'!X89</f>
        <v>0.1581226922</v>
      </c>
      <c r="Y89" s="63">
        <f>'Quarterly Revenue&amp;EBITDA'!Y204/'Quarterly Revenue&amp;EBITDA'!Y89</f>
        <v>0.164428773</v>
      </c>
      <c r="Z89" s="63">
        <f>'Quarterly Revenue&amp;EBITDA'!Z204/'Quarterly Revenue&amp;EBITDA'!Z89</f>
        <v>0.1930010765</v>
      </c>
      <c r="AA89" s="63">
        <f>'Quarterly Revenue&amp;EBITDA'!AA204/'Quarterly Revenue&amp;EBITDA'!AA89</f>
        <v>0.007614139273</v>
      </c>
      <c r="AB89" s="63">
        <f>'Quarterly Revenue&amp;EBITDA'!AB204/'Quarterly Revenue&amp;EBITDA'!AB89</f>
        <v>-0.03136120043</v>
      </c>
      <c r="AC89" s="63">
        <f>'Quarterly Revenue&amp;EBITDA'!AC204/'Quarterly Revenue&amp;EBITDA'!AC89</f>
        <v>-1.033923724</v>
      </c>
      <c r="AD89" s="43"/>
    </row>
    <row r="90">
      <c r="A90" s="42" t="s">
        <v>117</v>
      </c>
      <c r="B90" s="63">
        <f>'Quarterly Revenue&amp;EBITDA'!B205/'Quarterly Revenue&amp;EBITDA'!B90</f>
        <v>0.02769589689</v>
      </c>
      <c r="C90" s="63">
        <f>'Quarterly Revenue&amp;EBITDA'!C205/'Quarterly Revenue&amp;EBITDA'!C90</f>
        <v>0.1967009026</v>
      </c>
      <c r="D90" s="63">
        <f>'Quarterly Revenue&amp;EBITDA'!D205/'Quarterly Revenue&amp;EBITDA'!D90</f>
        <v>0.02188354826</v>
      </c>
      <c r="E90" s="63">
        <f>'Quarterly Revenue&amp;EBITDA'!E205/'Quarterly Revenue&amp;EBITDA'!E90</f>
        <v>-0.1523118767</v>
      </c>
      <c r="F90" s="63">
        <f>'Quarterly Revenue&amp;EBITDA'!F205/'Quarterly Revenue&amp;EBITDA'!F90</f>
        <v>0.06358381503</v>
      </c>
      <c r="G90" s="63">
        <f>'Quarterly Revenue&amp;EBITDA'!G205/'Quarterly Revenue&amp;EBITDA'!G90</f>
        <v>0.1190864503</v>
      </c>
      <c r="H90" s="63">
        <f>'Quarterly Revenue&amp;EBITDA'!H205/'Quarterly Revenue&amp;EBITDA'!H90</f>
        <v>0.2157894737</v>
      </c>
      <c r="I90" s="63">
        <f>'Quarterly Revenue&amp;EBITDA'!I205/'Quarterly Revenue&amp;EBITDA'!I90</f>
        <v>0.04447798362</v>
      </c>
      <c r="J90" s="63">
        <f>'Quarterly Revenue&amp;EBITDA'!J205/'Quarterly Revenue&amp;EBITDA'!J90</f>
        <v>-0.2362937147</v>
      </c>
      <c r="K90" s="63"/>
      <c r="L90" s="63">
        <f>'Quarterly Revenue&amp;EBITDA'!L205/'Quarterly Revenue&amp;EBITDA'!L90</f>
        <v>-0.00920455185</v>
      </c>
      <c r="M90" s="62"/>
      <c r="N90" s="63">
        <f>'Quarterly Revenue&amp;EBITDA'!N205/'Quarterly Revenue&amp;EBITDA'!N90</f>
        <v>0.01710144928</v>
      </c>
      <c r="O90" s="65">
        <f>'Quarterly Revenue&amp;EBITDA'!O205/'Quarterly Revenue&amp;EBITDA'!O90</f>
        <v>0.1882821388</v>
      </c>
      <c r="P90" s="62"/>
      <c r="Q90" s="62"/>
      <c r="R90" s="63"/>
      <c r="S90" s="63">
        <f>'Quarterly Revenue&amp;EBITDA'!S205/'Quarterly Revenue&amp;EBITDA'!S90</f>
        <v>0.09504967141</v>
      </c>
      <c r="T90" s="63">
        <f>'Quarterly Revenue&amp;EBITDA'!T205/'Quarterly Revenue&amp;EBITDA'!T90</f>
        <v>0.1699136868</v>
      </c>
      <c r="U90" s="62"/>
      <c r="V90" s="62"/>
      <c r="W90" s="62"/>
      <c r="X90" s="63">
        <f>'Quarterly Revenue&amp;EBITDA'!X205/'Quarterly Revenue&amp;EBITDA'!X90</f>
        <v>0.1581226922</v>
      </c>
      <c r="Y90" s="63">
        <f>'Quarterly Revenue&amp;EBITDA'!Y205/'Quarterly Revenue&amp;EBITDA'!Y90</f>
        <v>0.164428773</v>
      </c>
      <c r="Z90" s="63">
        <f>'Quarterly Revenue&amp;EBITDA'!Z205/'Quarterly Revenue&amp;EBITDA'!Z90</f>
        <v>0.1930010765</v>
      </c>
      <c r="AA90" s="63">
        <f>'Quarterly Revenue&amp;EBITDA'!AA205/'Quarterly Revenue&amp;EBITDA'!AA90</f>
        <v>0.007614139273</v>
      </c>
      <c r="AB90" s="63">
        <f>'Quarterly Revenue&amp;EBITDA'!AB205/'Quarterly Revenue&amp;EBITDA'!AB90</f>
        <v>-0.03136120043</v>
      </c>
      <c r="AC90" s="63">
        <f>'Quarterly Revenue&amp;EBITDA'!AC205/'Quarterly Revenue&amp;EBITDA'!AC90</f>
        <v>-1.033923724</v>
      </c>
      <c r="AD90" s="43"/>
    </row>
    <row r="91">
      <c r="A91" s="42" t="s">
        <v>118</v>
      </c>
      <c r="B91" s="63">
        <f>'Quarterly Revenue&amp;EBITDA'!B206/'Quarterly Revenue&amp;EBITDA'!B91</f>
        <v>-114.2672825</v>
      </c>
      <c r="C91" s="63">
        <f>'Quarterly Revenue&amp;EBITDA'!C206/'Quarterly Revenue&amp;EBITDA'!C91</f>
        <v>0.3412054988</v>
      </c>
      <c r="D91" s="63">
        <f>'Quarterly Revenue&amp;EBITDA'!D206/'Quarterly Revenue&amp;EBITDA'!D91</f>
        <v>-0.0540436949</v>
      </c>
      <c r="E91" s="63">
        <f>'Quarterly Revenue&amp;EBITDA'!E206/'Quarterly Revenue&amp;EBITDA'!E91</f>
        <v>0.6789819376</v>
      </c>
      <c r="F91" s="63">
        <f>'Quarterly Revenue&amp;EBITDA'!F206/'Quarterly Revenue&amp;EBITDA'!F91</f>
        <v>0.08776595745</v>
      </c>
      <c r="G91" s="63">
        <f>'Quarterly Revenue&amp;EBITDA'!G206/'Quarterly Revenue&amp;EBITDA'!G91</f>
        <v>0.06364854518</v>
      </c>
      <c r="H91" s="63">
        <f>'Quarterly Revenue&amp;EBITDA'!H206/'Quarterly Revenue&amp;EBITDA'!H91</f>
        <v>0.2668428005</v>
      </c>
      <c r="I91" s="63">
        <f>'Quarterly Revenue&amp;EBITDA'!I206/'Quarterly Revenue&amp;EBITDA'!I91</f>
        <v>0.01803155522</v>
      </c>
      <c r="J91" s="63">
        <f>'Quarterly Revenue&amp;EBITDA'!J206/'Quarterly Revenue&amp;EBITDA'!J91</f>
        <v>-0.3406558659</v>
      </c>
      <c r="K91" s="63"/>
      <c r="L91" s="63">
        <f>'Quarterly Revenue&amp;EBITDA'!L206/'Quarterly Revenue&amp;EBITDA'!L91</f>
        <v>0.1951112993</v>
      </c>
      <c r="M91" s="63"/>
      <c r="N91" s="63">
        <f>'Quarterly Revenue&amp;EBITDA'!N206/'Quarterly Revenue&amp;EBITDA'!N91</f>
        <v>-0.02504522283</v>
      </c>
      <c r="O91" s="65">
        <f>'Quarterly Revenue&amp;EBITDA'!O206/'Quarterly Revenue&amp;EBITDA'!O91</f>
        <v>0.2171189979</v>
      </c>
      <c r="P91" s="62"/>
      <c r="Q91" s="62"/>
      <c r="R91" s="63"/>
      <c r="S91" s="63">
        <f>'Quarterly Revenue&amp;EBITDA'!S206/'Quarterly Revenue&amp;EBITDA'!S91</f>
        <v>0.1586341797</v>
      </c>
      <c r="T91" s="63">
        <f>'Quarterly Revenue&amp;EBITDA'!T206/'Quarterly Revenue&amp;EBITDA'!T91</f>
        <v>0.1699136868</v>
      </c>
      <c r="U91" s="63">
        <f>iferror('Quarterly Revenue&amp;EBITDA'!U206/'Quarterly Revenue&amp;EBITDA'!U91,"")</f>
        <v>-0.379268106</v>
      </c>
      <c r="V91" s="62"/>
      <c r="W91" s="62"/>
      <c r="X91" s="63">
        <f>'Quarterly Revenue&amp;EBITDA'!X206/'Quarterly Revenue&amp;EBITDA'!X91</f>
        <v>0.1581226922</v>
      </c>
      <c r="Y91" s="63">
        <f>'Quarterly Revenue&amp;EBITDA'!Y206/'Quarterly Revenue&amp;EBITDA'!Y91</f>
        <v>0.1561474383</v>
      </c>
      <c r="Z91" s="63">
        <f>'Quarterly Revenue&amp;EBITDA'!Z206/'Quarterly Revenue&amp;EBITDA'!Z91</f>
        <v>0.2929178529</v>
      </c>
      <c r="AA91" s="63">
        <f>'Quarterly Revenue&amp;EBITDA'!AA206/'Quarterly Revenue&amp;EBITDA'!AA91</f>
        <v>-0.0008790300551</v>
      </c>
      <c r="AB91" s="63">
        <f>'Quarterly Revenue&amp;EBITDA'!AB206/'Quarterly Revenue&amp;EBITDA'!AB91</f>
        <v>-0.0008045444572</v>
      </c>
      <c r="AC91" s="63">
        <f>'Quarterly Revenue&amp;EBITDA'!AC206/'Quarterly Revenue&amp;EBITDA'!AC91</f>
        <v>-1.0924213</v>
      </c>
      <c r="AD91" s="43"/>
    </row>
    <row r="92">
      <c r="A92" s="42" t="s">
        <v>119</v>
      </c>
      <c r="B92" s="63">
        <f>'Quarterly Revenue&amp;EBITDA'!B207/'Quarterly Revenue&amp;EBITDA'!B92</f>
        <v>-78.97055189</v>
      </c>
      <c r="C92" s="63">
        <f>'Quarterly Revenue&amp;EBITDA'!C207/'Quarterly Revenue&amp;EBITDA'!C92</f>
        <v>0.3135064935</v>
      </c>
      <c r="D92" s="63">
        <f>'Quarterly Revenue&amp;EBITDA'!D207/'Quarterly Revenue&amp;EBITDA'!D92</f>
        <v>0.07453219156</v>
      </c>
      <c r="E92" s="63">
        <f>'Quarterly Revenue&amp;EBITDA'!E207/'Quarterly Revenue&amp;EBITDA'!E92</f>
        <v>0.006314127861</v>
      </c>
      <c r="F92" s="63">
        <f>'Quarterly Revenue&amp;EBITDA'!F207/'Quarterly Revenue&amp;EBITDA'!F92</f>
        <v>0.1611374408</v>
      </c>
      <c r="G92" s="63">
        <f>'Quarterly Revenue&amp;EBITDA'!G207/'Quarterly Revenue&amp;EBITDA'!G92</f>
        <v>0.04827894502</v>
      </c>
      <c r="H92" s="63">
        <f>'Quarterly Revenue&amp;EBITDA'!H207/'Quarterly Revenue&amp;EBITDA'!H92</f>
        <v>0.1371024735</v>
      </c>
      <c r="I92" s="63">
        <f>'Quarterly Revenue&amp;EBITDA'!I207/'Quarterly Revenue&amp;EBITDA'!I92</f>
        <v>-0.1577563541</v>
      </c>
      <c r="J92" s="63">
        <f>'Quarterly Revenue&amp;EBITDA'!J207/'Quarterly Revenue&amp;EBITDA'!J92</f>
        <v>-0.3007259925</v>
      </c>
      <c r="K92" s="63"/>
      <c r="L92" s="63">
        <f>'Quarterly Revenue&amp;EBITDA'!L207/'Quarterly Revenue&amp;EBITDA'!L92</f>
        <v>0.2174583893</v>
      </c>
      <c r="M92" s="63"/>
      <c r="N92" s="63">
        <f>'Quarterly Revenue&amp;EBITDA'!N207/'Quarterly Revenue&amp;EBITDA'!N92</f>
        <v>-0.01255557052</v>
      </c>
      <c r="O92" s="65">
        <f>'Quarterly Revenue&amp;EBITDA'!O207/'Quarterly Revenue&amp;EBITDA'!O92</f>
        <v>0.2171189979</v>
      </c>
      <c r="P92" s="62"/>
      <c r="Q92" s="62"/>
      <c r="R92" s="63"/>
      <c r="S92" s="63">
        <f>'Quarterly Revenue&amp;EBITDA'!S207/'Quarterly Revenue&amp;EBITDA'!S92</f>
        <v>0.1586341797</v>
      </c>
      <c r="T92" s="63">
        <f>'Quarterly Revenue&amp;EBITDA'!T207/'Quarterly Revenue&amp;EBITDA'!T92</f>
        <v>0.2628015048</v>
      </c>
      <c r="U92" s="63">
        <f>iferror('Quarterly Revenue&amp;EBITDA'!U207/'Quarterly Revenue&amp;EBITDA'!U92,"")</f>
        <v>-0.1556739543</v>
      </c>
      <c r="V92" s="62"/>
      <c r="W92" s="62"/>
      <c r="X92" s="63">
        <f>'Quarterly Revenue&amp;EBITDA'!X207/'Quarterly Revenue&amp;EBITDA'!X92</f>
        <v>0.1581226922</v>
      </c>
      <c r="Y92" s="63">
        <f>'Quarterly Revenue&amp;EBITDA'!Y207/'Quarterly Revenue&amp;EBITDA'!Y92</f>
        <v>0.1561474383</v>
      </c>
      <c r="Z92" s="63">
        <f>'Quarterly Revenue&amp;EBITDA'!Z207/'Quarterly Revenue&amp;EBITDA'!Z92</f>
        <v>0.2929178529</v>
      </c>
      <c r="AA92" s="63">
        <f>'Quarterly Revenue&amp;EBITDA'!AA207/'Quarterly Revenue&amp;EBITDA'!AA92</f>
        <v>-0.0008790300551</v>
      </c>
      <c r="AB92" s="63">
        <f>'Quarterly Revenue&amp;EBITDA'!AB207/'Quarterly Revenue&amp;EBITDA'!AB92</f>
        <v>-0.0008045444572</v>
      </c>
      <c r="AC92" s="63">
        <f>'Quarterly Revenue&amp;EBITDA'!AC207/'Quarterly Revenue&amp;EBITDA'!AC92</f>
        <v>-1.0924213</v>
      </c>
      <c r="AD92" s="43"/>
    </row>
    <row r="93">
      <c r="A93" s="42" t="s">
        <v>120</v>
      </c>
      <c r="B93" s="63">
        <f>'Quarterly Revenue&amp;EBITDA'!B208/'Quarterly Revenue&amp;EBITDA'!B93</f>
        <v>-58.24438032</v>
      </c>
      <c r="C93" s="63">
        <f>'Quarterly Revenue&amp;EBITDA'!C208/'Quarterly Revenue&amp;EBITDA'!C93</f>
        <v>0.4688492063</v>
      </c>
      <c r="D93" s="63">
        <f>'Quarterly Revenue&amp;EBITDA'!D208/'Quarterly Revenue&amp;EBITDA'!D93</f>
        <v>0.2529510961</v>
      </c>
      <c r="E93" s="63">
        <f>'Quarterly Revenue&amp;EBITDA'!E208/'Quarterly Revenue&amp;EBITDA'!E93</f>
        <v>0.09326072158</v>
      </c>
      <c r="F93" s="63">
        <f>'Quarterly Revenue&amp;EBITDA'!F208/'Quarterly Revenue&amp;EBITDA'!F93</f>
        <v>0.1705607477</v>
      </c>
      <c r="G93" s="63">
        <f>'Quarterly Revenue&amp;EBITDA'!G208/'Quarterly Revenue&amp;EBITDA'!G93</f>
        <v>0.01037924152</v>
      </c>
      <c r="H93" s="63">
        <f>'Quarterly Revenue&amp;EBITDA'!H208/'Quarterly Revenue&amp;EBITDA'!H93</f>
        <v>0.1975662133</v>
      </c>
      <c r="I93" s="63">
        <f>'Quarterly Revenue&amp;EBITDA'!I208/'Quarterly Revenue&amp;EBITDA'!I93</f>
        <v>-0.02878787879</v>
      </c>
      <c r="J93" s="63">
        <f>'Quarterly Revenue&amp;EBITDA'!J208/'Quarterly Revenue&amp;EBITDA'!J93</f>
        <v>-0.3102571276</v>
      </c>
      <c r="K93" s="63"/>
      <c r="L93" s="63">
        <f>'Quarterly Revenue&amp;EBITDA'!L208/'Quarterly Revenue&amp;EBITDA'!L93</f>
        <v>0.2078685145</v>
      </c>
      <c r="M93" s="63"/>
      <c r="N93" s="63">
        <f>'Quarterly Revenue&amp;EBITDA'!N208/'Quarterly Revenue&amp;EBITDA'!N93</f>
        <v>0.03150565709</v>
      </c>
      <c r="O93" s="65">
        <f>'Quarterly Revenue&amp;EBITDA'!O208/'Quarterly Revenue&amp;EBITDA'!O93</f>
        <v>0.05545371219</v>
      </c>
      <c r="P93" s="62"/>
      <c r="Q93" s="62"/>
      <c r="R93" s="63"/>
      <c r="S93" s="63">
        <f>'Quarterly Revenue&amp;EBITDA'!S208/'Quarterly Revenue&amp;EBITDA'!S93</f>
        <v>0.1586341797</v>
      </c>
      <c r="T93" s="63">
        <f>'Quarterly Revenue&amp;EBITDA'!T208/'Quarterly Revenue&amp;EBITDA'!T93</f>
        <v>0.2628015048</v>
      </c>
      <c r="U93" s="63">
        <f>iferror('Quarterly Revenue&amp;EBITDA'!U208/'Quarterly Revenue&amp;EBITDA'!U93,"")</f>
        <v>-0.2227133901</v>
      </c>
      <c r="V93" s="62"/>
      <c r="W93" s="62"/>
      <c r="X93" s="63">
        <f>'Quarterly Revenue&amp;EBITDA'!X208/'Quarterly Revenue&amp;EBITDA'!X93</f>
        <v>0.2231058146</v>
      </c>
      <c r="Y93" s="63">
        <f>'Quarterly Revenue&amp;EBITDA'!Y208/'Quarterly Revenue&amp;EBITDA'!Y93</f>
        <v>0.1561474383</v>
      </c>
      <c r="Z93" s="63">
        <f>'Quarterly Revenue&amp;EBITDA'!Z208/'Quarterly Revenue&amp;EBITDA'!Z93</f>
        <v>0.2929178529</v>
      </c>
      <c r="AA93" s="63">
        <f>'Quarterly Revenue&amp;EBITDA'!AA208/'Quarterly Revenue&amp;EBITDA'!AA93</f>
        <v>-0.0008790300551</v>
      </c>
      <c r="AB93" s="63">
        <f>'Quarterly Revenue&amp;EBITDA'!AB208/'Quarterly Revenue&amp;EBITDA'!AB93</f>
        <v>-0.0008045444572</v>
      </c>
      <c r="AC93" s="63">
        <f>'Quarterly Revenue&amp;EBITDA'!AC208/'Quarterly Revenue&amp;EBITDA'!AC93</f>
        <v>-1.0924213</v>
      </c>
      <c r="AD93" s="43"/>
    </row>
    <row r="94">
      <c r="A94" s="42" t="s">
        <v>121</v>
      </c>
      <c r="B94" s="63">
        <f>'Quarterly Revenue&amp;EBITDA'!B209/'Quarterly Revenue&amp;EBITDA'!B94</f>
        <v>-0.3089430894</v>
      </c>
      <c r="C94" s="63">
        <f>'Quarterly Revenue&amp;EBITDA'!C209/'Quarterly Revenue&amp;EBITDA'!C94</f>
        <v>0.4252770291</v>
      </c>
      <c r="D94" s="63">
        <f>'Quarterly Revenue&amp;EBITDA'!D209/'Quarterly Revenue&amp;EBITDA'!D94</f>
        <v>0.1634510375</v>
      </c>
      <c r="E94" s="63">
        <f>'Quarterly Revenue&amp;EBITDA'!E209/'Quarterly Revenue&amp;EBITDA'!E94</f>
        <v>0.2886956522</v>
      </c>
      <c r="F94" s="63">
        <f>'Quarterly Revenue&amp;EBITDA'!F209/'Quarterly Revenue&amp;EBITDA'!F94</f>
        <v>0.05970149254</v>
      </c>
      <c r="G94" s="63">
        <f>'Quarterly Revenue&amp;EBITDA'!G209/'Quarterly Revenue&amp;EBITDA'!G94</f>
        <v>0.07052090032</v>
      </c>
      <c r="H94" s="63">
        <f>'Quarterly Revenue&amp;EBITDA'!H209/'Quarterly Revenue&amp;EBITDA'!H94</f>
        <v>0.1958997722</v>
      </c>
      <c r="I94" s="63">
        <f>'Quarterly Revenue&amp;EBITDA'!I209/'Quarterly Revenue&amp;EBITDA'!I94</f>
        <v>-0.04601648352</v>
      </c>
      <c r="J94" s="63">
        <f>'Quarterly Revenue&amp;EBITDA'!J209/'Quarterly Revenue&amp;EBITDA'!J94</f>
        <v>-0.201505899</v>
      </c>
      <c r="K94" s="63"/>
      <c r="L94" s="63">
        <f>'Quarterly Revenue&amp;EBITDA'!L209/'Quarterly Revenue&amp;EBITDA'!L94</f>
        <v>0.03667976652</v>
      </c>
      <c r="M94" s="63"/>
      <c r="N94" s="63">
        <f>'Quarterly Revenue&amp;EBITDA'!N209/'Quarterly Revenue&amp;EBITDA'!N94</f>
        <v>-0.02010050251</v>
      </c>
      <c r="O94" s="65">
        <f>'Quarterly Revenue&amp;EBITDA'!O209/'Quarterly Revenue&amp;EBITDA'!O94</f>
        <v>0.05545371219</v>
      </c>
      <c r="P94" s="62"/>
      <c r="Q94" s="62"/>
      <c r="R94" s="63"/>
      <c r="S94" s="63">
        <f>'Quarterly Revenue&amp;EBITDA'!S209/'Quarterly Revenue&amp;EBITDA'!S94</f>
        <v>0.1586341797</v>
      </c>
      <c r="T94" s="63">
        <f>'Quarterly Revenue&amp;EBITDA'!T209/'Quarterly Revenue&amp;EBITDA'!T94</f>
        <v>0.2628015048</v>
      </c>
      <c r="U94" s="63">
        <f>iferror('Quarterly Revenue&amp;EBITDA'!U209/'Quarterly Revenue&amp;EBITDA'!U94,"")</f>
        <v>0.06073799935</v>
      </c>
      <c r="V94" s="62"/>
      <c r="W94" s="62"/>
      <c r="X94" s="63">
        <f>'Quarterly Revenue&amp;EBITDA'!X209/'Quarterly Revenue&amp;EBITDA'!X94</f>
        <v>0.2231058146</v>
      </c>
      <c r="Y94" s="63">
        <f>'Quarterly Revenue&amp;EBITDA'!Y209/'Quarterly Revenue&amp;EBITDA'!Y94</f>
        <v>0.1561474383</v>
      </c>
      <c r="Z94" s="63">
        <f>'Quarterly Revenue&amp;EBITDA'!Z209/'Quarterly Revenue&amp;EBITDA'!Z94</f>
        <v>0.2929178529</v>
      </c>
      <c r="AA94" s="63">
        <f>'Quarterly Revenue&amp;EBITDA'!AA209/'Quarterly Revenue&amp;EBITDA'!AA94</f>
        <v>-0.0008790300551</v>
      </c>
      <c r="AB94" s="63">
        <f>'Quarterly Revenue&amp;EBITDA'!AB209/'Quarterly Revenue&amp;EBITDA'!AB94</f>
        <v>-0.0008045444572</v>
      </c>
      <c r="AC94" s="63">
        <f>'Quarterly Revenue&amp;EBITDA'!AC209/'Quarterly Revenue&amp;EBITDA'!AC94</f>
        <v>-1.0924213</v>
      </c>
      <c r="AD94" s="43"/>
    </row>
    <row r="95">
      <c r="A95" s="42" t="s">
        <v>122</v>
      </c>
      <c r="B95" s="63">
        <f>'Quarterly Revenue&amp;EBITDA'!B210/'Quarterly Revenue&amp;EBITDA'!B95</f>
        <v>-0.4241830298</v>
      </c>
      <c r="C95" s="63">
        <f>'Quarterly Revenue&amp;EBITDA'!C210/'Quarterly Revenue&amp;EBITDA'!C95</f>
        <v>-0.3155594406</v>
      </c>
      <c r="D95" s="63">
        <f>'Quarterly Revenue&amp;EBITDA'!D210/'Quarterly Revenue&amp;EBITDA'!D95</f>
        <v>-0.03395201449</v>
      </c>
      <c r="E95" s="63">
        <f>'Quarterly Revenue&amp;EBITDA'!E210/'Quarterly Revenue&amp;EBITDA'!E95</f>
        <v>-1.110612855</v>
      </c>
      <c r="F95" s="63">
        <f>'Quarterly Revenue&amp;EBITDA'!F210/'Quarterly Revenue&amp;EBITDA'!F95</f>
        <v>-0.09712230216</v>
      </c>
      <c r="G95" s="63">
        <f>'Quarterly Revenue&amp;EBITDA'!G210/'Quarterly Revenue&amp;EBITDA'!G95</f>
        <v>-1.542203147</v>
      </c>
      <c r="H95" s="63">
        <f>'Quarterly Revenue&amp;EBITDA'!H210/'Quarterly Revenue&amp;EBITDA'!H95</f>
        <v>0.2411408816</v>
      </c>
      <c r="I95" s="63">
        <f>'Quarterly Revenue&amp;EBITDA'!I210/'Quarterly Revenue&amp;EBITDA'!I95</f>
        <v>-0.1905387648</v>
      </c>
      <c r="J95" s="63">
        <f>'Quarterly Revenue&amp;EBITDA'!J210/'Quarterly Revenue&amp;EBITDA'!J95</f>
        <v>-3.227621825</v>
      </c>
      <c r="K95" s="63"/>
      <c r="L95" s="63">
        <f>'Quarterly Revenue&amp;EBITDA'!L210/'Quarterly Revenue&amp;EBITDA'!L95</f>
        <v>6.040113089</v>
      </c>
      <c r="M95" s="63"/>
      <c r="N95" s="63">
        <f>'Quarterly Revenue&amp;EBITDA'!N210/'Quarterly Revenue&amp;EBITDA'!N95</f>
        <v>-0.380131209</v>
      </c>
      <c r="O95" s="65">
        <f>'Quarterly Revenue&amp;EBITDA'!O210/'Quarterly Revenue&amp;EBITDA'!O95</f>
        <v>-3.509240246</v>
      </c>
      <c r="P95" s="62"/>
      <c r="Q95" s="62"/>
      <c r="R95" s="63"/>
      <c r="S95" s="63">
        <f>'Quarterly Revenue&amp;EBITDA'!S210/'Quarterly Revenue&amp;EBITDA'!S95</f>
        <v>-0.4275630982</v>
      </c>
      <c r="T95" s="63">
        <f>'Quarterly Revenue&amp;EBITDA'!T210/'Quarterly Revenue&amp;EBITDA'!T95</f>
        <v>0.2628015048</v>
      </c>
      <c r="U95" s="63">
        <f>iferror('Quarterly Revenue&amp;EBITDA'!U210/'Quarterly Revenue&amp;EBITDA'!U95,"")</f>
        <v>-0.1051891093</v>
      </c>
      <c r="V95" s="62"/>
      <c r="W95" s="62"/>
      <c r="X95" s="63">
        <f>'Quarterly Revenue&amp;EBITDA'!X210/'Quarterly Revenue&amp;EBITDA'!X95</f>
        <v>0.2231058146</v>
      </c>
      <c r="Y95" s="63">
        <f>'Quarterly Revenue&amp;EBITDA'!Y210/'Quarterly Revenue&amp;EBITDA'!Y95</f>
        <v>-1.02229864</v>
      </c>
      <c r="Z95" s="63">
        <f>'Quarterly Revenue&amp;EBITDA'!Z210/'Quarterly Revenue&amp;EBITDA'!Z95</f>
        <v>-0.4387923053</v>
      </c>
      <c r="AA95" s="63">
        <f>'Quarterly Revenue&amp;EBITDA'!AA210/'Quarterly Revenue&amp;EBITDA'!AA95</f>
        <v>-0.07750422702</v>
      </c>
      <c r="AB95" s="63">
        <f>'Quarterly Revenue&amp;EBITDA'!AB210/'Quarterly Revenue&amp;EBITDA'!AB95</f>
        <v>-0.04981209429</v>
      </c>
      <c r="AC95" s="63">
        <f>'Quarterly Revenue&amp;EBITDA'!AC210/'Quarterly Revenue&amp;EBITDA'!AC95</f>
        <v>-1.002547108</v>
      </c>
      <c r="AD95" s="43"/>
    </row>
    <row r="96">
      <c r="A96" s="42" t="s">
        <v>123</v>
      </c>
      <c r="B96" s="63">
        <f>'Quarterly Revenue&amp;EBITDA'!B211/'Quarterly Revenue&amp;EBITDA'!B96</f>
        <v>-1.909939243</v>
      </c>
      <c r="C96" s="63">
        <f>'Quarterly Revenue&amp;EBITDA'!C211/'Quarterly Revenue&amp;EBITDA'!C96</f>
        <v>0.3317460317</v>
      </c>
      <c r="D96" s="63">
        <f>'Quarterly Revenue&amp;EBITDA'!D211/'Quarterly Revenue&amp;EBITDA'!D96</f>
        <v>-0.74204947</v>
      </c>
      <c r="E96" s="63">
        <f>'Quarterly Revenue&amp;EBITDA'!E211/'Quarterly Revenue&amp;EBITDA'!E96</f>
        <v>0.3861607143</v>
      </c>
      <c r="F96" s="63">
        <f>'Quarterly Revenue&amp;EBITDA'!F211/'Quarterly Revenue&amp;EBITDA'!F96</f>
        <v>-3.033898305</v>
      </c>
      <c r="G96" s="63">
        <f>'Quarterly Revenue&amp;EBITDA'!G211/'Quarterly Revenue&amp;EBITDA'!G96</f>
        <v>-1.677018634</v>
      </c>
      <c r="H96" s="63">
        <f>'Quarterly Revenue&amp;EBITDA'!H211/'Quarterly Revenue&amp;EBITDA'!H96</f>
        <v>-0.9397590361</v>
      </c>
      <c r="I96" s="63">
        <f>'Quarterly Revenue&amp;EBITDA'!I211/'Quarterly Revenue&amp;EBITDA'!I96</f>
        <v>6.711340206</v>
      </c>
      <c r="J96" s="63">
        <f>'Quarterly Revenue&amp;EBITDA'!J211/'Quarterly Revenue&amp;EBITDA'!J96</f>
        <v>-5.455745952</v>
      </c>
      <c r="K96" s="63"/>
      <c r="L96" s="63">
        <f>'Quarterly Revenue&amp;EBITDA'!L211/'Quarterly Revenue&amp;EBITDA'!L96</f>
        <v>-6.272268206</v>
      </c>
      <c r="M96" s="63"/>
      <c r="N96" s="63">
        <f>'Quarterly Revenue&amp;EBITDA'!N211/'Quarterly Revenue&amp;EBITDA'!N96</f>
        <v>-18.6162963</v>
      </c>
      <c r="O96" s="65">
        <f>'Quarterly Revenue&amp;EBITDA'!O211/'Quarterly Revenue&amp;EBITDA'!O96</f>
        <v>-3.509240246</v>
      </c>
      <c r="P96" s="65"/>
      <c r="Q96" s="62"/>
      <c r="R96" s="63"/>
      <c r="S96" s="63">
        <f>'Quarterly Revenue&amp;EBITDA'!S211/'Quarterly Revenue&amp;EBITDA'!S96</f>
        <v>-0.4275630982</v>
      </c>
      <c r="T96" s="63">
        <f>'Quarterly Revenue&amp;EBITDA'!T211/'Quarterly Revenue&amp;EBITDA'!T96</f>
        <v>0.5620104095</v>
      </c>
      <c r="U96" s="63">
        <f>iferror('Quarterly Revenue&amp;EBITDA'!U211/'Quarterly Revenue&amp;EBITDA'!U96,"")</f>
        <v>-0.4154209284</v>
      </c>
      <c r="V96" s="62"/>
      <c r="W96" s="62"/>
      <c r="X96" s="63">
        <f>'Quarterly Revenue&amp;EBITDA'!X211/'Quarterly Revenue&amp;EBITDA'!X96</f>
        <v>0.2231058146</v>
      </c>
      <c r="Y96" s="63">
        <f>'Quarterly Revenue&amp;EBITDA'!Y211/'Quarterly Revenue&amp;EBITDA'!Y96</f>
        <v>-1.02229864</v>
      </c>
      <c r="Z96" s="63">
        <f>'Quarterly Revenue&amp;EBITDA'!Z211/'Quarterly Revenue&amp;EBITDA'!Z96</f>
        <v>-0.4387923053</v>
      </c>
      <c r="AA96" s="63">
        <f>'Quarterly Revenue&amp;EBITDA'!AA211/'Quarterly Revenue&amp;EBITDA'!AA96</f>
        <v>-0.07750422702</v>
      </c>
      <c r="AB96" s="63">
        <f>'Quarterly Revenue&amp;EBITDA'!AB211/'Quarterly Revenue&amp;EBITDA'!AB96</f>
        <v>-0.04981209429</v>
      </c>
      <c r="AC96" s="63">
        <f>'Quarterly Revenue&amp;EBITDA'!AC211/'Quarterly Revenue&amp;EBITDA'!AC96</f>
        <v>-1.002547108</v>
      </c>
      <c r="AD96" s="43"/>
    </row>
    <row r="97">
      <c r="A97" s="42" t="s">
        <v>124</v>
      </c>
      <c r="B97" s="63">
        <f>'Quarterly Revenue&amp;EBITDA'!B212/'Quarterly Revenue&amp;EBITDA'!B97</f>
        <v>0.2288017884</v>
      </c>
      <c r="C97" s="63">
        <f>'Quarterly Revenue&amp;EBITDA'!C212/'Quarterly Revenue&amp;EBITDA'!C97</f>
        <v>0.3162878788</v>
      </c>
      <c r="D97" s="63">
        <f>'Quarterly Revenue&amp;EBITDA'!D212/'Quarterly Revenue&amp;EBITDA'!D97</f>
        <v>0.1974734043</v>
      </c>
      <c r="E97" s="63">
        <f>'Quarterly Revenue&amp;EBITDA'!E212/'Quarterly Revenue&amp;EBITDA'!E97</f>
        <v>0.3714285714</v>
      </c>
      <c r="F97" s="63">
        <f>'Quarterly Revenue&amp;EBITDA'!F212/'Quarterly Revenue&amp;EBITDA'!F97</f>
        <v>-0.3841059603</v>
      </c>
      <c r="G97" s="63">
        <f>'Quarterly Revenue&amp;EBITDA'!G212/'Quarterly Revenue&amp;EBITDA'!G97</f>
        <v>-0.0297029703</v>
      </c>
      <c r="H97" s="63">
        <f>'Quarterly Revenue&amp;EBITDA'!H212/'Quarterly Revenue&amp;EBITDA'!H97</f>
        <v>-0.1046511628</v>
      </c>
      <c r="I97" s="63">
        <f>'Quarterly Revenue&amp;EBITDA'!I212/'Quarterly Revenue&amp;EBITDA'!I97</f>
        <v>-4.068376068</v>
      </c>
      <c r="J97" s="63">
        <f>'Quarterly Revenue&amp;EBITDA'!J212/'Quarterly Revenue&amp;EBITDA'!J97</f>
        <v>-0.9249099353</v>
      </c>
      <c r="K97" s="63"/>
      <c r="L97" s="63">
        <f>'Quarterly Revenue&amp;EBITDA'!L212/'Quarterly Revenue&amp;EBITDA'!L97</f>
        <v>-5.88024806</v>
      </c>
      <c r="M97" s="63"/>
      <c r="N97" s="63">
        <f>'Quarterly Revenue&amp;EBITDA'!N212/'Quarterly Revenue&amp;EBITDA'!N97</f>
        <v>-2.785884908</v>
      </c>
      <c r="O97" s="65">
        <f>'Quarterly Revenue&amp;EBITDA'!O212/'Quarterly Revenue&amp;EBITDA'!O97</f>
        <v>-6.336244541</v>
      </c>
      <c r="P97" s="65"/>
      <c r="Q97" s="62"/>
      <c r="R97" s="63"/>
      <c r="S97" s="63">
        <f>'Quarterly Revenue&amp;EBITDA'!S212/'Quarterly Revenue&amp;EBITDA'!S97</f>
        <v>-0.4275630982</v>
      </c>
      <c r="T97" s="63">
        <f>'Quarterly Revenue&amp;EBITDA'!T212/'Quarterly Revenue&amp;EBITDA'!T97</f>
        <v>0.5620104095</v>
      </c>
      <c r="U97" s="63">
        <f>iferror('Quarterly Revenue&amp;EBITDA'!U212/'Quarterly Revenue&amp;EBITDA'!U97,"")</f>
        <v>-1.143575419</v>
      </c>
      <c r="V97" s="62"/>
      <c r="W97" s="62"/>
      <c r="X97" s="63">
        <f>'Quarterly Revenue&amp;EBITDA'!X212/'Quarterly Revenue&amp;EBITDA'!X97</f>
        <v>-0.5238290914</v>
      </c>
      <c r="Y97" s="63">
        <f>'Quarterly Revenue&amp;EBITDA'!Y212/'Quarterly Revenue&amp;EBITDA'!Y97</f>
        <v>-1.02229864</v>
      </c>
      <c r="Z97" s="63">
        <f>'Quarterly Revenue&amp;EBITDA'!Z212/'Quarterly Revenue&amp;EBITDA'!Z97</f>
        <v>-0.4387923053</v>
      </c>
      <c r="AA97" s="63">
        <f>'Quarterly Revenue&amp;EBITDA'!AA212/'Quarterly Revenue&amp;EBITDA'!AA97</f>
        <v>-0.07750422702</v>
      </c>
      <c r="AB97" s="63">
        <f>'Quarterly Revenue&amp;EBITDA'!AB212/'Quarterly Revenue&amp;EBITDA'!AB97</f>
        <v>-0.04981209429</v>
      </c>
      <c r="AC97" s="63">
        <f>'Quarterly Revenue&amp;EBITDA'!AC212/'Quarterly Revenue&amp;EBITDA'!AC97</f>
        <v>-1.002547108</v>
      </c>
      <c r="AD97" s="43"/>
    </row>
    <row r="98">
      <c r="A98" s="42" t="s">
        <v>125</v>
      </c>
      <c r="B98" s="63">
        <f>'Quarterly Revenue&amp;EBITDA'!B213/'Quarterly Revenue&amp;EBITDA'!B98</f>
        <v>-4.648428405</v>
      </c>
      <c r="C98" s="63">
        <f>'Quarterly Revenue&amp;EBITDA'!C213/'Quarterly Revenue&amp;EBITDA'!C98</f>
        <v>0.1978998384</v>
      </c>
      <c r="D98" s="63">
        <f>'Quarterly Revenue&amp;EBITDA'!D213/'Quarterly Revenue&amp;EBITDA'!D98</f>
        <v>-0.1695652174</v>
      </c>
      <c r="E98" s="63">
        <f>'Quarterly Revenue&amp;EBITDA'!E213/'Quarterly Revenue&amp;EBITDA'!E98</f>
        <v>0.1629434954</v>
      </c>
      <c r="F98" s="63">
        <f>'Quarterly Revenue&amp;EBITDA'!F213/'Quarterly Revenue&amp;EBITDA'!F98</f>
        <v>-0.8965517241</v>
      </c>
      <c r="G98" s="63">
        <f>'Quarterly Revenue&amp;EBITDA'!G213/'Quarterly Revenue&amp;EBITDA'!G98</f>
        <v>-0.2679256966</v>
      </c>
      <c r="H98" s="63">
        <f>'Quarterly Revenue&amp;EBITDA'!H213/'Quarterly Revenue&amp;EBITDA'!H98</f>
        <v>-0.4</v>
      </c>
      <c r="I98" s="63">
        <f>'Quarterly Revenue&amp;EBITDA'!I213/'Quarterly Revenue&amp;EBITDA'!I98</f>
        <v>-0.6974232806</v>
      </c>
      <c r="J98" s="63">
        <f>'Quarterly Revenue&amp;EBITDA'!J213/'Quarterly Revenue&amp;EBITDA'!J98</f>
        <v>-0.0628278703</v>
      </c>
      <c r="K98" s="63"/>
      <c r="L98" s="63">
        <f>'Quarterly Revenue&amp;EBITDA'!L213/'Quarterly Revenue&amp;EBITDA'!L98</f>
        <v>-11.33454651</v>
      </c>
      <c r="M98" s="63"/>
      <c r="N98" s="63">
        <f>'Quarterly Revenue&amp;EBITDA'!N213/'Quarterly Revenue&amp;EBITDA'!N98</f>
        <v>0.1152004788</v>
      </c>
      <c r="O98" s="65">
        <f>'Quarterly Revenue&amp;EBITDA'!O213/'Quarterly Revenue&amp;EBITDA'!O98</f>
        <v>-6.336244541</v>
      </c>
      <c r="P98" s="65"/>
      <c r="Q98" s="62"/>
      <c r="R98" s="63"/>
      <c r="S98" s="63">
        <f>'Quarterly Revenue&amp;EBITDA'!S213/'Quarterly Revenue&amp;EBITDA'!S98</f>
        <v>-0.4275630982</v>
      </c>
      <c r="T98" s="63">
        <f>'Quarterly Revenue&amp;EBITDA'!T213/'Quarterly Revenue&amp;EBITDA'!T98</f>
        <v>0.5620104095</v>
      </c>
      <c r="U98" s="63">
        <f>iferror('Quarterly Revenue&amp;EBITDA'!U213/'Quarterly Revenue&amp;EBITDA'!U98,"")</f>
        <v>-0.7262635805</v>
      </c>
      <c r="V98" s="62"/>
      <c r="W98" s="62"/>
      <c r="X98" s="63">
        <f>'Quarterly Revenue&amp;EBITDA'!X213/'Quarterly Revenue&amp;EBITDA'!X98</f>
        <v>-0.5238290914</v>
      </c>
      <c r="Y98" s="63">
        <f>'Quarterly Revenue&amp;EBITDA'!Y213/'Quarterly Revenue&amp;EBITDA'!Y98</f>
        <v>-1.02229864</v>
      </c>
      <c r="Z98" s="63">
        <f>'Quarterly Revenue&amp;EBITDA'!Z213/'Quarterly Revenue&amp;EBITDA'!Z98</f>
        <v>-0.4387923053</v>
      </c>
      <c r="AA98" s="63">
        <f>'Quarterly Revenue&amp;EBITDA'!AA213/'Quarterly Revenue&amp;EBITDA'!AA98</f>
        <v>-0.07750422702</v>
      </c>
      <c r="AB98" s="63">
        <f>'Quarterly Revenue&amp;EBITDA'!AB213/'Quarterly Revenue&amp;EBITDA'!AB98</f>
        <v>-0.04981209429</v>
      </c>
      <c r="AC98" s="63">
        <f>'Quarterly Revenue&amp;EBITDA'!AC213/'Quarterly Revenue&amp;EBITDA'!AC98</f>
        <v>-1.002547108</v>
      </c>
      <c r="AD98" s="43"/>
    </row>
    <row r="99">
      <c r="A99" s="42" t="s">
        <v>126</v>
      </c>
      <c r="B99" s="63">
        <f>'Quarterly Revenue&amp;EBITDA'!B214/'Quarterly Revenue&amp;EBITDA'!B99</f>
        <v>-1.314527768</v>
      </c>
      <c r="C99" s="63">
        <f>'Quarterly Revenue&amp;EBITDA'!C214/'Quarterly Revenue&amp;EBITDA'!C99</f>
        <v>-0.2436459246</v>
      </c>
      <c r="D99" s="63">
        <f>'Quarterly Revenue&amp;EBITDA'!D214/'Quarterly Revenue&amp;EBITDA'!D99</f>
        <v>-0.04333868379</v>
      </c>
      <c r="E99" s="63">
        <f>'Quarterly Revenue&amp;EBITDA'!E214/'Quarterly Revenue&amp;EBITDA'!E99</f>
        <v>0.423566879</v>
      </c>
      <c r="F99" s="63">
        <f>'Quarterly Revenue&amp;EBITDA'!F214/'Quarterly Revenue&amp;EBITDA'!F99</f>
        <v>-0.7804878049</v>
      </c>
      <c r="G99" s="63">
        <f>'Quarterly Revenue&amp;EBITDA'!G214/'Quarterly Revenue&amp;EBITDA'!G99</f>
        <v>-0.2094240838</v>
      </c>
      <c r="H99" s="63">
        <f>'Quarterly Revenue&amp;EBITDA'!H214/'Quarterly Revenue&amp;EBITDA'!H99</f>
        <v>-0.4584717608</v>
      </c>
      <c r="I99" s="63">
        <f>'Quarterly Revenue&amp;EBITDA'!I214/'Quarterly Revenue&amp;EBITDA'!I99</f>
        <v>-0.7188235294</v>
      </c>
      <c r="J99" s="63">
        <f>'Quarterly Revenue&amp;EBITDA'!J214/'Quarterly Revenue&amp;EBITDA'!J99</f>
        <v>-0.01220635942</v>
      </c>
      <c r="K99" s="63"/>
      <c r="L99" s="63">
        <f>'Quarterly Revenue&amp;EBITDA'!L214/'Quarterly Revenue&amp;EBITDA'!L99</f>
        <v>-2.110200318</v>
      </c>
      <c r="M99" s="63"/>
      <c r="N99" s="63">
        <f>'Quarterly Revenue&amp;EBITDA'!N214/'Quarterly Revenue&amp;EBITDA'!N99</f>
        <v>-0.630694864</v>
      </c>
      <c r="O99" s="65">
        <f>'Quarterly Revenue&amp;EBITDA'!O214/'Quarterly Revenue&amp;EBITDA'!O99</f>
        <v>-2.056962025</v>
      </c>
      <c r="P99" s="65">
        <f>'Quarterly Revenue&amp;EBITDA'!P214/'Quarterly Revenue&amp;EBITDA'!P99</f>
        <v>0.08771929825</v>
      </c>
      <c r="Q99" s="62"/>
      <c r="R99" s="63"/>
      <c r="S99" s="63">
        <f>'Quarterly Revenue&amp;EBITDA'!S214/'Quarterly Revenue&amp;EBITDA'!S99</f>
        <v>-0.09990183667</v>
      </c>
      <c r="T99" s="63">
        <f>'Quarterly Revenue&amp;EBITDA'!T214/'Quarterly Revenue&amp;EBITDA'!T99</f>
        <v>0.5620104095</v>
      </c>
      <c r="U99" s="63">
        <f>iferror('Quarterly Revenue&amp;EBITDA'!U214/'Quarterly Revenue&amp;EBITDA'!U99,"")</f>
        <v>-1.036219336</v>
      </c>
      <c r="V99" s="62"/>
      <c r="W99" s="62"/>
      <c r="X99" s="63">
        <f>'Quarterly Revenue&amp;EBITDA'!X214/'Quarterly Revenue&amp;EBITDA'!X99</f>
        <v>-0.5238290914</v>
      </c>
      <c r="Y99" s="63">
        <f>'Quarterly Revenue&amp;EBITDA'!Y214/'Quarterly Revenue&amp;EBITDA'!Y99</f>
        <v>-0.8035817649</v>
      </c>
      <c r="Z99" s="63">
        <f>'Quarterly Revenue&amp;EBITDA'!Z214/'Quarterly Revenue&amp;EBITDA'!Z99</f>
        <v>-0.2053022392</v>
      </c>
      <c r="AA99" s="63">
        <f>'Quarterly Revenue&amp;EBITDA'!AA214/'Quarterly Revenue&amp;EBITDA'!AA99</f>
        <v>-0.003798485758</v>
      </c>
      <c r="AB99" s="63">
        <f>'Quarterly Revenue&amp;EBITDA'!AB214/'Quarterly Revenue&amp;EBITDA'!AB99</f>
        <v>-2.480428674</v>
      </c>
      <c r="AC99" s="63">
        <f>'Quarterly Revenue&amp;EBITDA'!AC214/'Quarterly Revenue&amp;EBITDA'!AC99</f>
        <v>-1.106253038</v>
      </c>
      <c r="AD99" s="43"/>
    </row>
    <row r="100">
      <c r="A100" s="42" t="s">
        <v>127</v>
      </c>
      <c r="B100" s="63">
        <f>'Quarterly Revenue&amp;EBITDA'!B215/'Quarterly Revenue&amp;EBITDA'!B100</f>
        <v>-0.04267837831</v>
      </c>
      <c r="C100" s="63">
        <f>'Quarterly Revenue&amp;EBITDA'!C215/'Quarterly Revenue&amp;EBITDA'!C100</f>
        <v>-0.01898148148</v>
      </c>
      <c r="D100" s="63">
        <f>'Quarterly Revenue&amp;EBITDA'!D215/'Quarterly Revenue&amp;EBITDA'!D100</f>
        <v>0.09284699195</v>
      </c>
      <c r="E100" s="63">
        <f>'Quarterly Revenue&amp;EBITDA'!E215/'Quarterly Revenue&amp;EBITDA'!E100</f>
        <v>-0.07894736842</v>
      </c>
      <c r="F100" s="63">
        <f>'Quarterly Revenue&amp;EBITDA'!F215/'Quarterly Revenue&amp;EBITDA'!F100</f>
        <v>-0.1957446809</v>
      </c>
      <c r="G100" s="63">
        <f>'Quarterly Revenue&amp;EBITDA'!G215/'Quarterly Revenue&amp;EBITDA'!G100</f>
        <v>-0.03438632507</v>
      </c>
      <c r="H100" s="63">
        <f>'Quarterly Revenue&amp;EBITDA'!H215/'Quarterly Revenue&amp;EBITDA'!H100</f>
        <v>-0.06140350877</v>
      </c>
      <c r="I100" s="63">
        <f>'Quarterly Revenue&amp;EBITDA'!I215/'Quarterly Revenue&amp;EBITDA'!I100</f>
        <v>-0.5988837622</v>
      </c>
      <c r="J100" s="63">
        <f>'Quarterly Revenue&amp;EBITDA'!J215/'Quarterly Revenue&amp;EBITDA'!J100</f>
        <v>-0.7613072214</v>
      </c>
      <c r="K100" s="63">
        <f>'Quarterly Revenue&amp;EBITDA'!K215/'Quarterly Revenue&amp;EBITDA'!K100</f>
        <v>-0.02891681437</v>
      </c>
      <c r="L100" s="63">
        <f>'Quarterly Revenue&amp;EBITDA'!L215/'Quarterly Revenue&amp;EBITDA'!L100</f>
        <v>-0.5209294129</v>
      </c>
      <c r="M100" s="63"/>
      <c r="N100" s="63">
        <f>'Quarterly Revenue&amp;EBITDA'!N215/'Quarterly Revenue&amp;EBITDA'!N100</f>
        <v>-0.4188555347</v>
      </c>
      <c r="O100" s="65">
        <f>'Quarterly Revenue&amp;EBITDA'!O215/'Quarterly Revenue&amp;EBITDA'!O100</f>
        <v>-1.315978456</v>
      </c>
      <c r="P100" s="65">
        <f>'Quarterly Revenue&amp;EBITDA'!P215/'Quarterly Revenue&amp;EBITDA'!P100</f>
        <v>0.08771929825</v>
      </c>
      <c r="Q100" s="62"/>
      <c r="R100" s="63"/>
      <c r="S100" s="63">
        <f>'Quarterly Revenue&amp;EBITDA'!S215/'Quarterly Revenue&amp;EBITDA'!S100</f>
        <v>-0.09990183667</v>
      </c>
      <c r="T100" s="63">
        <f>'Quarterly Revenue&amp;EBITDA'!T215/'Quarterly Revenue&amp;EBITDA'!T100</f>
        <v>0.5757614375</v>
      </c>
      <c r="U100" s="63">
        <f>iferror('Quarterly Revenue&amp;EBITDA'!U215/'Quarterly Revenue&amp;EBITDA'!U100,"")</f>
        <v>-0.256962945</v>
      </c>
      <c r="V100" s="62"/>
      <c r="W100" s="62"/>
      <c r="X100" s="63">
        <f>'Quarterly Revenue&amp;EBITDA'!X215/'Quarterly Revenue&amp;EBITDA'!X100</f>
        <v>-0.5238290914</v>
      </c>
      <c r="Y100" s="63">
        <f>'Quarterly Revenue&amp;EBITDA'!Y215/'Quarterly Revenue&amp;EBITDA'!Y100</f>
        <v>-0.8035817649</v>
      </c>
      <c r="Z100" s="63">
        <f>'Quarterly Revenue&amp;EBITDA'!Z215/'Quarterly Revenue&amp;EBITDA'!Z100</f>
        <v>-0.2053022392</v>
      </c>
      <c r="AA100" s="63">
        <f>'Quarterly Revenue&amp;EBITDA'!AA215/'Quarterly Revenue&amp;EBITDA'!AA100</f>
        <v>-0.003798485758</v>
      </c>
      <c r="AB100" s="63">
        <f>'Quarterly Revenue&amp;EBITDA'!AB215/'Quarterly Revenue&amp;EBITDA'!AB100</f>
        <v>-2.480428674</v>
      </c>
      <c r="AC100" s="63">
        <f>'Quarterly Revenue&amp;EBITDA'!AC215/'Quarterly Revenue&amp;EBITDA'!AC100</f>
        <v>-1.106253038</v>
      </c>
      <c r="AD100" s="43"/>
    </row>
    <row r="101">
      <c r="A101" s="42" t="s">
        <v>128</v>
      </c>
      <c r="B101" s="63">
        <f>'Quarterly Revenue&amp;EBITDA'!B216/'Quarterly Revenue&amp;EBITDA'!B101</f>
        <v>0.3801045127</v>
      </c>
      <c r="C101" s="63">
        <f>'Quarterly Revenue&amp;EBITDA'!C216/'Quarterly Revenue&amp;EBITDA'!C101</f>
        <v>0.2070145423</v>
      </c>
      <c r="D101" s="63">
        <f>'Quarterly Revenue&amp;EBITDA'!D216/'Quarterly Revenue&amp;EBITDA'!D101</f>
        <v>0.2825793383</v>
      </c>
      <c r="E101" s="63">
        <f>'Quarterly Revenue&amp;EBITDA'!E216/'Quarterly Revenue&amp;EBITDA'!E101</f>
        <v>-0.1853188929</v>
      </c>
      <c r="F101" s="63">
        <f>'Quarterly Revenue&amp;EBITDA'!F216/'Quarterly Revenue&amp;EBITDA'!F101</f>
        <v>0.009900990099</v>
      </c>
      <c r="G101" s="63">
        <f>'Quarterly Revenue&amp;EBITDA'!G216/'Quarterly Revenue&amp;EBITDA'!G101</f>
        <v>0.06349206349</v>
      </c>
      <c r="H101" s="63">
        <f>'Quarterly Revenue&amp;EBITDA'!H216/'Quarterly Revenue&amp;EBITDA'!H101</f>
        <v>0.007007007007</v>
      </c>
      <c r="I101" s="63">
        <f>'Quarterly Revenue&amp;EBITDA'!I216/'Quarterly Revenue&amp;EBITDA'!I101</f>
        <v>-0.3070602629</v>
      </c>
      <c r="J101" s="63">
        <f>'Quarterly Revenue&amp;EBITDA'!J216/'Quarterly Revenue&amp;EBITDA'!J101</f>
        <v>-0.1272988634</v>
      </c>
      <c r="K101" s="63">
        <f>'Quarterly Revenue&amp;EBITDA'!K216/'Quarterly Revenue&amp;EBITDA'!K101</f>
        <v>-0.02891681437</v>
      </c>
      <c r="L101" s="63">
        <f>'Quarterly Revenue&amp;EBITDA'!L216/'Quarterly Revenue&amp;EBITDA'!L101</f>
        <v>-0.3627748259</v>
      </c>
      <c r="M101" s="63"/>
      <c r="N101" s="63">
        <f>'Quarterly Revenue&amp;EBITDA'!N216/'Quarterly Revenue&amp;EBITDA'!N101</f>
        <v>-0.01068347711</v>
      </c>
      <c r="O101" s="65">
        <f>'Quarterly Revenue&amp;EBITDA'!O216/'Quarterly Revenue&amp;EBITDA'!O101</f>
        <v>-1.315978456</v>
      </c>
      <c r="P101" s="65">
        <f>'Quarterly Revenue&amp;EBITDA'!P216/'Quarterly Revenue&amp;EBITDA'!P101</f>
        <v>0.08771929825</v>
      </c>
      <c r="Q101" s="62"/>
      <c r="R101" s="63"/>
      <c r="S101" s="63">
        <f>'Quarterly Revenue&amp;EBITDA'!S216/'Quarterly Revenue&amp;EBITDA'!S101</f>
        <v>-0.09990183667</v>
      </c>
      <c r="T101" s="63">
        <f>'Quarterly Revenue&amp;EBITDA'!T216/'Quarterly Revenue&amp;EBITDA'!T101</f>
        <v>0.5757614375</v>
      </c>
      <c r="U101" s="63">
        <f>iferror('Quarterly Revenue&amp;EBITDA'!U216/'Quarterly Revenue&amp;EBITDA'!U101,"")</f>
        <v>-0.3057293382</v>
      </c>
      <c r="V101" s="62"/>
      <c r="W101" s="62"/>
      <c r="X101" s="63">
        <f>'Quarterly Revenue&amp;EBITDA'!X216/'Quarterly Revenue&amp;EBITDA'!X101</f>
        <v>-0.4461414322</v>
      </c>
      <c r="Y101" s="63">
        <f>'Quarterly Revenue&amp;EBITDA'!Y216/'Quarterly Revenue&amp;EBITDA'!Y101</f>
        <v>-0.8035817649</v>
      </c>
      <c r="Z101" s="63">
        <f>'Quarterly Revenue&amp;EBITDA'!Z216/'Quarterly Revenue&amp;EBITDA'!Z101</f>
        <v>-0.2053022392</v>
      </c>
      <c r="AA101" s="63">
        <f>'Quarterly Revenue&amp;EBITDA'!AA216/'Quarterly Revenue&amp;EBITDA'!AA101</f>
        <v>-0.003798485758</v>
      </c>
      <c r="AB101" s="63">
        <f>'Quarterly Revenue&amp;EBITDA'!AB216/'Quarterly Revenue&amp;EBITDA'!AB101</f>
        <v>-2.480428674</v>
      </c>
      <c r="AC101" s="63">
        <f>'Quarterly Revenue&amp;EBITDA'!AC216/'Quarterly Revenue&amp;EBITDA'!AC101</f>
        <v>-1.106253038</v>
      </c>
      <c r="AD101" s="43"/>
    </row>
    <row r="102">
      <c r="A102" s="42" t="s">
        <v>129</v>
      </c>
      <c r="B102" s="63">
        <f>'Quarterly Revenue&amp;EBITDA'!B217/'Quarterly Revenue&amp;EBITDA'!B102</f>
        <v>0.0471356145</v>
      </c>
      <c r="C102" s="63">
        <f>'Quarterly Revenue&amp;EBITDA'!C217/'Quarterly Revenue&amp;EBITDA'!C102</f>
        <v>0.2737336464</v>
      </c>
      <c r="D102" s="63">
        <f>'Quarterly Revenue&amp;EBITDA'!D217/'Quarterly Revenue&amp;EBITDA'!D102</f>
        <v>0.2014041246</v>
      </c>
      <c r="E102" s="63">
        <f>'Quarterly Revenue&amp;EBITDA'!E217/'Quarterly Revenue&amp;EBITDA'!E102</f>
        <v>-0.1578231293</v>
      </c>
      <c r="F102" s="63">
        <f>'Quarterly Revenue&amp;EBITDA'!F217/'Quarterly Revenue&amp;EBITDA'!F102</f>
        <v>-0.1950207469</v>
      </c>
      <c r="G102" s="63">
        <f>'Quarterly Revenue&amp;EBITDA'!G217/'Quarterly Revenue&amp;EBITDA'!G102</f>
        <v>0.288849494</v>
      </c>
      <c r="H102" s="63">
        <f>'Quarterly Revenue&amp;EBITDA'!H217/'Quarterly Revenue&amp;EBITDA'!H102</f>
        <v>-0.04402515723</v>
      </c>
      <c r="I102" s="63">
        <f>'Quarterly Revenue&amp;EBITDA'!I217/'Quarterly Revenue&amp;EBITDA'!I102</f>
        <v>-0.04380359035</v>
      </c>
      <c r="J102" s="63">
        <f>'Quarterly Revenue&amp;EBITDA'!J217/'Quarterly Revenue&amp;EBITDA'!J102</f>
        <v>-0.0833572416</v>
      </c>
      <c r="K102" s="63">
        <f>'Quarterly Revenue&amp;EBITDA'!K217/'Quarterly Revenue&amp;EBITDA'!K102</f>
        <v>-0.02891681437</v>
      </c>
      <c r="L102" s="63">
        <f>'Quarterly Revenue&amp;EBITDA'!L217/'Quarterly Revenue&amp;EBITDA'!L102</f>
        <v>-0.2156358974</v>
      </c>
      <c r="M102" s="63"/>
      <c r="N102" s="63">
        <f>'Quarterly Revenue&amp;EBITDA'!N217/'Quarterly Revenue&amp;EBITDA'!N102</f>
        <v>0.1875162888</v>
      </c>
      <c r="O102" s="65">
        <f>'Quarterly Revenue&amp;EBITDA'!O217/'Quarterly Revenue&amp;EBITDA'!O102</f>
        <v>-0.3807228916</v>
      </c>
      <c r="P102" s="65">
        <f>'Quarterly Revenue&amp;EBITDA'!P217/'Quarterly Revenue&amp;EBITDA'!P102</f>
        <v>0.387434555</v>
      </c>
      <c r="Q102" s="62"/>
      <c r="R102" s="63"/>
      <c r="S102" s="63">
        <f>'Quarterly Revenue&amp;EBITDA'!S217/'Quarterly Revenue&amp;EBITDA'!S102</f>
        <v>-0.09990183667</v>
      </c>
      <c r="T102" s="63">
        <f>'Quarterly Revenue&amp;EBITDA'!T217/'Quarterly Revenue&amp;EBITDA'!T102</f>
        <v>0.5757614375</v>
      </c>
      <c r="U102" s="63">
        <f>iferror('Quarterly Revenue&amp;EBITDA'!U217/'Quarterly Revenue&amp;EBITDA'!U102,"")</f>
        <v>-0.2190058133</v>
      </c>
      <c r="V102" s="62"/>
      <c r="W102" s="62"/>
      <c r="X102" s="63">
        <f>'Quarterly Revenue&amp;EBITDA'!X217/'Quarterly Revenue&amp;EBITDA'!X102</f>
        <v>-0.4461414322</v>
      </c>
      <c r="Y102" s="63">
        <f>'Quarterly Revenue&amp;EBITDA'!Y217/'Quarterly Revenue&amp;EBITDA'!Y102</f>
        <v>-0.8035817649</v>
      </c>
      <c r="Z102" s="63">
        <f>'Quarterly Revenue&amp;EBITDA'!Z217/'Quarterly Revenue&amp;EBITDA'!Z102</f>
        <v>-0.2053022392</v>
      </c>
      <c r="AA102" s="63">
        <f>'Quarterly Revenue&amp;EBITDA'!AA217/'Quarterly Revenue&amp;EBITDA'!AA102</f>
        <v>-0.003798485758</v>
      </c>
      <c r="AB102" s="63">
        <f>'Quarterly Revenue&amp;EBITDA'!AB217/'Quarterly Revenue&amp;EBITDA'!AB102</f>
        <v>-2.480428674</v>
      </c>
      <c r="AC102" s="63">
        <f>'Quarterly Revenue&amp;EBITDA'!AC217/'Quarterly Revenue&amp;EBITDA'!AC102</f>
        <v>-1.106253038</v>
      </c>
      <c r="AD102" s="43"/>
    </row>
    <row r="103">
      <c r="A103" s="42" t="s">
        <v>130</v>
      </c>
      <c r="B103" s="63">
        <f>'Quarterly Revenue&amp;EBITDA'!B218/'Quarterly Revenue&amp;EBITDA'!B103</f>
        <v>-0.005358739298</v>
      </c>
      <c r="C103" s="63">
        <f>'Quarterly Revenue&amp;EBITDA'!C218/'Quarterly Revenue&amp;EBITDA'!C103</f>
        <v>-0.3150278293</v>
      </c>
      <c r="D103" s="63">
        <f>'Quarterly Revenue&amp;EBITDA'!D218/'Quarterly Revenue&amp;EBITDA'!D103</f>
        <v>0.06580702534</v>
      </c>
      <c r="E103" s="63">
        <f>'Quarterly Revenue&amp;EBITDA'!E218/'Quarterly Revenue&amp;EBITDA'!E103</f>
        <v>-0.1972265023</v>
      </c>
      <c r="F103" s="63">
        <f>'Quarterly Revenue&amp;EBITDA'!F218/'Quarterly Revenue&amp;EBITDA'!F103</f>
        <v>-0.1259541985</v>
      </c>
      <c r="G103" s="63">
        <f>'Quarterly Revenue&amp;EBITDA'!G218/'Quarterly Revenue&amp;EBITDA'!G103</f>
        <v>-0.04551447293</v>
      </c>
      <c r="H103" s="63">
        <f>'Quarterly Revenue&amp;EBITDA'!H218/'Quarterly Revenue&amp;EBITDA'!H103</f>
        <v>-0.001682085786</v>
      </c>
      <c r="I103" s="63">
        <f>'Quarterly Revenue&amp;EBITDA'!I218/'Quarterly Revenue&amp;EBITDA'!I103</f>
        <v>-0.1051915242</v>
      </c>
      <c r="J103" s="63">
        <f>'Quarterly Revenue&amp;EBITDA'!J218/'Quarterly Revenue&amp;EBITDA'!J103</f>
        <v>-0.03950918306</v>
      </c>
      <c r="K103" s="63">
        <f>'Quarterly Revenue&amp;EBITDA'!K218/'Quarterly Revenue&amp;EBITDA'!K103</f>
        <v>-0.02891681437</v>
      </c>
      <c r="L103" s="63">
        <f>'Quarterly Revenue&amp;EBITDA'!L218/'Quarterly Revenue&amp;EBITDA'!L103</f>
        <v>-0.3610643755</v>
      </c>
      <c r="M103" s="63">
        <f>'Quarterly Revenue&amp;EBITDA'!M218/'Quarterly Revenue&amp;EBITDA'!M103</f>
        <v>-0.2406015038</v>
      </c>
      <c r="N103" s="63">
        <f>'Quarterly Revenue&amp;EBITDA'!N218/'Quarterly Revenue&amp;EBITDA'!N103</f>
        <v>0.1551521099</v>
      </c>
      <c r="O103" s="65">
        <f>'Quarterly Revenue&amp;EBITDA'!O218/'Quarterly Revenue&amp;EBITDA'!O103</f>
        <v>-0.3807228916</v>
      </c>
      <c r="P103" s="65">
        <f>'Quarterly Revenue&amp;EBITDA'!P218/'Quarterly Revenue&amp;EBITDA'!P103</f>
        <v>0.387434555</v>
      </c>
      <c r="Q103" s="62"/>
      <c r="R103" s="63"/>
      <c r="S103" s="63">
        <f>'Quarterly Revenue&amp;EBITDA'!S218/'Quarterly Revenue&amp;EBITDA'!S103</f>
        <v>-0.04630072108</v>
      </c>
      <c r="T103" s="63">
        <f>'Quarterly Revenue&amp;EBITDA'!T218/'Quarterly Revenue&amp;EBITDA'!T103</f>
        <v>0.5757614375</v>
      </c>
      <c r="U103" s="63">
        <f>iferror('Quarterly Revenue&amp;EBITDA'!U218/'Quarterly Revenue&amp;EBITDA'!U103,"")</f>
        <v>-0.184623103</v>
      </c>
      <c r="V103" s="62"/>
      <c r="W103" s="62"/>
      <c r="X103" s="63">
        <f>'Quarterly Revenue&amp;EBITDA'!X218/'Quarterly Revenue&amp;EBITDA'!X103</f>
        <v>-0.4461414322</v>
      </c>
      <c r="Y103" s="63">
        <f>'Quarterly Revenue&amp;EBITDA'!Y218/'Quarterly Revenue&amp;EBITDA'!Y103</f>
        <v>0.1112030856</v>
      </c>
      <c r="Z103" s="63">
        <f>'Quarterly Revenue&amp;EBITDA'!Z218/'Quarterly Revenue&amp;EBITDA'!Z103</f>
        <v>0.3504906852</v>
      </c>
      <c r="AA103" s="63">
        <f>'Quarterly Revenue&amp;EBITDA'!AA218/'Quarterly Revenue&amp;EBITDA'!AA103</f>
        <v>0.04077536816</v>
      </c>
      <c r="AB103" s="63">
        <f>'Quarterly Revenue&amp;EBITDA'!AB218/'Quarterly Revenue&amp;EBITDA'!AB103</f>
        <v>-6.641838488</v>
      </c>
      <c r="AC103" s="63">
        <f>'Quarterly Revenue&amp;EBITDA'!AC218/'Quarterly Revenue&amp;EBITDA'!AC103</f>
        <v>-0.4243011482</v>
      </c>
      <c r="AD103" s="43"/>
    </row>
    <row r="104">
      <c r="A104" s="42" t="s">
        <v>131</v>
      </c>
      <c r="B104" s="63">
        <f>'Quarterly Revenue&amp;EBITDA'!B219/'Quarterly Revenue&amp;EBITDA'!B104</f>
        <v>0.1820777175</v>
      </c>
      <c r="C104" s="63">
        <f>'Quarterly Revenue&amp;EBITDA'!C219/'Quarterly Revenue&amp;EBITDA'!C104</f>
        <v>0.266418258</v>
      </c>
      <c r="D104" s="63">
        <f>'Quarterly Revenue&amp;EBITDA'!D219/'Quarterly Revenue&amp;EBITDA'!D104</f>
        <v>0.1933354291</v>
      </c>
      <c r="E104" s="63">
        <f>'Quarterly Revenue&amp;EBITDA'!E219/'Quarterly Revenue&amp;EBITDA'!E104</f>
        <v>0.1235392321</v>
      </c>
      <c r="F104" s="63">
        <f>'Quarterly Revenue&amp;EBITDA'!F219/'Quarterly Revenue&amp;EBITDA'!F104</f>
        <v>0.1270983213</v>
      </c>
      <c r="G104" s="63">
        <f>'Quarterly Revenue&amp;EBITDA'!G219/'Quarterly Revenue&amp;EBITDA'!G104</f>
        <v>-0.4112758947</v>
      </c>
      <c r="H104" s="63">
        <f>'Quarterly Revenue&amp;EBITDA'!H219/'Quarterly Revenue&amp;EBITDA'!H104</f>
        <v>-0.01235415237</v>
      </c>
      <c r="I104" s="63">
        <f>'Quarterly Revenue&amp;EBITDA'!I219/'Quarterly Revenue&amp;EBITDA'!I104</f>
        <v>-0.08852039488</v>
      </c>
      <c r="J104" s="63">
        <f>'Quarterly Revenue&amp;EBITDA'!J219/'Quarterly Revenue&amp;EBITDA'!J104</f>
        <v>-0.07092263177</v>
      </c>
      <c r="K104" s="63">
        <f>'Quarterly Revenue&amp;EBITDA'!K219/'Quarterly Revenue&amp;EBITDA'!K104</f>
        <v>0.07808939958</v>
      </c>
      <c r="L104" s="63">
        <f>'Quarterly Revenue&amp;EBITDA'!L219/'Quarterly Revenue&amp;EBITDA'!L104</f>
        <v>-0.2820457114</v>
      </c>
      <c r="M104" s="63">
        <f>'Quarterly Revenue&amp;EBITDA'!M219/'Quarterly Revenue&amp;EBITDA'!M104</f>
        <v>-0.4325</v>
      </c>
      <c r="N104" s="63">
        <f>'Quarterly Revenue&amp;EBITDA'!N219/'Quarterly Revenue&amp;EBITDA'!N104</f>
        <v>0.3038156947</v>
      </c>
      <c r="O104" s="65">
        <f>'Quarterly Revenue&amp;EBITDA'!O219/'Quarterly Revenue&amp;EBITDA'!O104</f>
        <v>0.02389078498</v>
      </c>
      <c r="P104" s="65">
        <f>'Quarterly Revenue&amp;EBITDA'!P219/'Quarterly Revenue&amp;EBITDA'!P104</f>
        <v>0.4131274131</v>
      </c>
      <c r="Q104" s="62"/>
      <c r="R104" s="63"/>
      <c r="S104" s="63">
        <f>'Quarterly Revenue&amp;EBITDA'!S219/'Quarterly Revenue&amp;EBITDA'!S104</f>
        <v>-0.04630072108</v>
      </c>
      <c r="T104" s="63">
        <f>'Quarterly Revenue&amp;EBITDA'!T219/'Quarterly Revenue&amp;EBITDA'!T104</f>
        <v>0.5130131442</v>
      </c>
      <c r="U104" s="63">
        <f>iferror('Quarterly Revenue&amp;EBITDA'!U219/'Quarterly Revenue&amp;EBITDA'!U104,"")</f>
        <v>0.001933725938</v>
      </c>
      <c r="V104" s="62"/>
      <c r="W104" s="62"/>
      <c r="X104" s="63">
        <f>'Quarterly Revenue&amp;EBITDA'!X219/'Quarterly Revenue&amp;EBITDA'!X104</f>
        <v>-0.4461414322</v>
      </c>
      <c r="Y104" s="63">
        <f>'Quarterly Revenue&amp;EBITDA'!Y219/'Quarterly Revenue&amp;EBITDA'!Y104</f>
        <v>0.1112030856</v>
      </c>
      <c r="Z104" s="63">
        <f>'Quarterly Revenue&amp;EBITDA'!Z219/'Quarterly Revenue&amp;EBITDA'!Z104</f>
        <v>0.3504906852</v>
      </c>
      <c r="AA104" s="63">
        <f>'Quarterly Revenue&amp;EBITDA'!AA219/'Quarterly Revenue&amp;EBITDA'!AA104</f>
        <v>0.04077536816</v>
      </c>
      <c r="AB104" s="63">
        <f>'Quarterly Revenue&amp;EBITDA'!AB219/'Quarterly Revenue&amp;EBITDA'!AB104</f>
        <v>-6.641838488</v>
      </c>
      <c r="AC104" s="63">
        <f>'Quarterly Revenue&amp;EBITDA'!AC219/'Quarterly Revenue&amp;EBITDA'!AC104</f>
        <v>-0.4243011482</v>
      </c>
      <c r="AD104" s="43"/>
    </row>
    <row r="105">
      <c r="A105" s="42" t="s">
        <v>132</v>
      </c>
      <c r="B105" s="63">
        <f>'Quarterly Revenue&amp;EBITDA'!B220/'Quarterly Revenue&amp;EBITDA'!B105</f>
        <v>0.4402630001</v>
      </c>
      <c r="C105" s="63">
        <f>'Quarterly Revenue&amp;EBITDA'!C220/'Quarterly Revenue&amp;EBITDA'!C105</f>
        <v>0.3595505618</v>
      </c>
      <c r="D105" s="63">
        <f>'Quarterly Revenue&amp;EBITDA'!D220/'Quarterly Revenue&amp;EBITDA'!D105</f>
        <v>0.2887537994</v>
      </c>
      <c r="E105" s="63">
        <f>'Quarterly Revenue&amp;EBITDA'!E220/'Quarterly Revenue&amp;EBITDA'!E105</f>
        <v>0.0608875129</v>
      </c>
      <c r="F105" s="63">
        <f>'Quarterly Revenue&amp;EBITDA'!F220/'Quarterly Revenue&amp;EBITDA'!F105</f>
        <v>0.1350762527</v>
      </c>
      <c r="G105" s="63">
        <f>'Quarterly Revenue&amp;EBITDA'!G220/'Quarterly Revenue&amp;EBITDA'!G105</f>
        <v>-0.3973870441</v>
      </c>
      <c r="H105" s="63">
        <f>'Quarterly Revenue&amp;EBITDA'!H220/'Quarterly Revenue&amp;EBITDA'!H105</f>
        <v>0.02023726448</v>
      </c>
      <c r="I105" s="63">
        <f>'Quarterly Revenue&amp;EBITDA'!I220/'Quarterly Revenue&amp;EBITDA'!I105</f>
        <v>-0.09652737713</v>
      </c>
      <c r="J105" s="63">
        <f>'Quarterly Revenue&amp;EBITDA'!J220/'Quarterly Revenue&amp;EBITDA'!J105</f>
        <v>-0.05462690661</v>
      </c>
      <c r="K105" s="63">
        <f>'Quarterly Revenue&amp;EBITDA'!K220/'Quarterly Revenue&amp;EBITDA'!K105</f>
        <v>0.07808939958</v>
      </c>
      <c r="L105" s="63">
        <f>'Quarterly Revenue&amp;EBITDA'!L220/'Quarterly Revenue&amp;EBITDA'!L105</f>
        <v>0.2353218068</v>
      </c>
      <c r="M105" s="63">
        <f>'Quarterly Revenue&amp;EBITDA'!M220/'Quarterly Revenue&amp;EBITDA'!M105</f>
        <v>-0.07878787879</v>
      </c>
      <c r="N105" s="63">
        <f>'Quarterly Revenue&amp;EBITDA'!N220/'Quarterly Revenue&amp;EBITDA'!N105</f>
        <v>0.3104384817</v>
      </c>
      <c r="O105" s="65">
        <f>'Quarterly Revenue&amp;EBITDA'!O220/'Quarterly Revenue&amp;EBITDA'!O105</f>
        <v>0.02389078498</v>
      </c>
      <c r="P105" s="65">
        <f>'Quarterly Revenue&amp;EBITDA'!P220/'Quarterly Revenue&amp;EBITDA'!P105</f>
        <v>0.4131274131</v>
      </c>
      <c r="Q105" s="62"/>
      <c r="R105" s="63"/>
      <c r="S105" s="63">
        <f>'Quarterly Revenue&amp;EBITDA'!S220/'Quarterly Revenue&amp;EBITDA'!S105</f>
        <v>-0.04630072108</v>
      </c>
      <c r="T105" s="63">
        <f>'Quarterly Revenue&amp;EBITDA'!T220/'Quarterly Revenue&amp;EBITDA'!T105</f>
        <v>0.3821035874</v>
      </c>
      <c r="U105" s="63">
        <f>iferror('Quarterly Revenue&amp;EBITDA'!U220/'Quarterly Revenue&amp;EBITDA'!U105,"")</f>
        <v>-0.07516883625</v>
      </c>
      <c r="V105" s="62"/>
      <c r="W105" s="62"/>
      <c r="X105" s="63">
        <f>'Quarterly Revenue&amp;EBITDA'!X220/'Quarterly Revenue&amp;EBITDA'!X105</f>
        <v>-0.1007156055</v>
      </c>
      <c r="Y105" s="63">
        <f>'Quarterly Revenue&amp;EBITDA'!Y220/'Quarterly Revenue&amp;EBITDA'!Y105</f>
        <v>0.1112030856</v>
      </c>
      <c r="Z105" s="63">
        <f>'Quarterly Revenue&amp;EBITDA'!Z220/'Quarterly Revenue&amp;EBITDA'!Z105</f>
        <v>0.3504906852</v>
      </c>
      <c r="AA105" s="63">
        <f>'Quarterly Revenue&amp;EBITDA'!AA220/'Quarterly Revenue&amp;EBITDA'!AA105</f>
        <v>0.04077536816</v>
      </c>
      <c r="AB105" s="63">
        <f>'Quarterly Revenue&amp;EBITDA'!AB220/'Quarterly Revenue&amp;EBITDA'!AB105</f>
        <v>-6.641838488</v>
      </c>
      <c r="AC105" s="63">
        <f>'Quarterly Revenue&amp;EBITDA'!AC220/'Quarterly Revenue&amp;EBITDA'!AC105</f>
        <v>-0.4243011482</v>
      </c>
      <c r="AD105" s="43"/>
    </row>
    <row r="106">
      <c r="A106" s="42" t="s">
        <v>133</v>
      </c>
      <c r="B106" s="63">
        <f>'Quarterly Revenue&amp;EBITDA'!B221/'Quarterly Revenue&amp;EBITDA'!B106</f>
        <v>0.1808622503</v>
      </c>
      <c r="C106" s="63">
        <f>'Quarterly Revenue&amp;EBITDA'!C221/'Quarterly Revenue&amp;EBITDA'!C106</f>
        <v>0.3586070635</v>
      </c>
      <c r="D106" s="63">
        <f>'Quarterly Revenue&amp;EBITDA'!D221/'Quarterly Revenue&amp;EBITDA'!D106</f>
        <v>0.1634835752</v>
      </c>
      <c r="E106" s="63">
        <f>'Quarterly Revenue&amp;EBITDA'!E221/'Quarterly Revenue&amp;EBITDA'!E106</f>
        <v>0.504109589</v>
      </c>
      <c r="F106" s="63">
        <f>'Quarterly Revenue&amp;EBITDA'!F221/'Quarterly Revenue&amp;EBITDA'!F106</f>
        <v>-0.04519774011</v>
      </c>
      <c r="G106" s="63">
        <f>'Quarterly Revenue&amp;EBITDA'!G221/'Quarterly Revenue&amp;EBITDA'!G106</f>
        <v>0.1611227107</v>
      </c>
      <c r="H106" s="63">
        <f>'Quarterly Revenue&amp;EBITDA'!H221/'Quarterly Revenue&amp;EBITDA'!H106</f>
        <v>0.04827586207</v>
      </c>
      <c r="I106" s="63">
        <f>'Quarterly Revenue&amp;EBITDA'!I221/'Quarterly Revenue&amp;EBITDA'!I106</f>
        <v>-0.06487474406</v>
      </c>
      <c r="J106" s="63">
        <f>'Quarterly Revenue&amp;EBITDA'!J221/'Quarterly Revenue&amp;EBITDA'!J106</f>
        <v>-0.001213891137</v>
      </c>
      <c r="K106" s="63">
        <f>'Quarterly Revenue&amp;EBITDA'!K221/'Quarterly Revenue&amp;EBITDA'!K106</f>
        <v>0.07808939958</v>
      </c>
      <c r="L106" s="63">
        <f>'Quarterly Revenue&amp;EBITDA'!L221/'Quarterly Revenue&amp;EBITDA'!L106</f>
        <v>0.02906176939</v>
      </c>
      <c r="M106" s="63">
        <f>'Quarterly Revenue&amp;EBITDA'!M221/'Quarterly Revenue&amp;EBITDA'!M106</f>
        <v>-0.02347826087</v>
      </c>
      <c r="N106" s="63">
        <f>'Quarterly Revenue&amp;EBITDA'!N221/'Quarterly Revenue&amp;EBITDA'!N106</f>
        <v>0.02755604155</v>
      </c>
      <c r="O106" s="65">
        <f>'Quarterly Revenue&amp;EBITDA'!O221/'Quarterly Revenue&amp;EBITDA'!O106</f>
        <v>0.07741251326</v>
      </c>
      <c r="P106" s="65">
        <f>'Quarterly Revenue&amp;EBITDA'!P221/'Quarterly Revenue&amp;EBITDA'!P106</f>
        <v>0.3928571429</v>
      </c>
      <c r="Q106" s="62"/>
      <c r="R106" s="63"/>
      <c r="S106" s="63">
        <f>'Quarterly Revenue&amp;EBITDA'!S221/'Quarterly Revenue&amp;EBITDA'!S106</f>
        <v>-0.04630072108</v>
      </c>
      <c r="T106" s="63">
        <f>'Quarterly Revenue&amp;EBITDA'!T221/'Quarterly Revenue&amp;EBITDA'!T106</f>
        <v>0.4498923417</v>
      </c>
      <c r="U106" s="63">
        <f>iferror('Quarterly Revenue&amp;EBITDA'!U221/'Quarterly Revenue&amp;EBITDA'!U106,"")</f>
        <v>-0.2261020988</v>
      </c>
      <c r="V106" s="62"/>
      <c r="W106" s="62"/>
      <c r="X106" s="63">
        <f>'Quarterly Revenue&amp;EBITDA'!X221/'Quarterly Revenue&amp;EBITDA'!X106</f>
        <v>-0.1007156055</v>
      </c>
      <c r="Y106" s="63">
        <f>'Quarterly Revenue&amp;EBITDA'!Y221/'Quarterly Revenue&amp;EBITDA'!Y106</f>
        <v>0.1112030856</v>
      </c>
      <c r="Z106" s="63">
        <f>'Quarterly Revenue&amp;EBITDA'!Z221/'Quarterly Revenue&amp;EBITDA'!Z106</f>
        <v>0.3504906852</v>
      </c>
      <c r="AA106" s="63">
        <f>'Quarterly Revenue&amp;EBITDA'!AA221/'Quarterly Revenue&amp;EBITDA'!AA106</f>
        <v>0.04077536816</v>
      </c>
      <c r="AB106" s="63">
        <f>'Quarterly Revenue&amp;EBITDA'!AB221/'Quarterly Revenue&amp;EBITDA'!AB106</f>
        <v>-6.641838488</v>
      </c>
      <c r="AC106" s="63">
        <f>'Quarterly Revenue&amp;EBITDA'!AC221/'Quarterly Revenue&amp;EBITDA'!AC106</f>
        <v>-0.4243011482</v>
      </c>
      <c r="AD106" s="43"/>
    </row>
    <row r="107">
      <c r="A107" s="42" t="s">
        <v>134</v>
      </c>
      <c r="B107" s="63">
        <f>'Quarterly Revenue&amp;EBITDA'!B222/'Quarterly Revenue&amp;EBITDA'!B107</f>
        <v>0.07150715072</v>
      </c>
      <c r="C107" s="63">
        <f>'Quarterly Revenue&amp;EBITDA'!C222/'Quarterly Revenue&amp;EBITDA'!C107</f>
        <v>0.08020116464</v>
      </c>
      <c r="D107" s="63">
        <f>'Quarterly Revenue&amp;EBITDA'!D222/'Quarterly Revenue&amp;EBITDA'!D107</f>
        <v>0.1054409006</v>
      </c>
      <c r="E107" s="63">
        <f>'Quarterly Revenue&amp;EBITDA'!E222/'Quarterly Revenue&amp;EBITDA'!E107</f>
        <v>0.4175988069</v>
      </c>
      <c r="F107" s="63">
        <f>'Quarterly Revenue&amp;EBITDA'!F222/'Quarterly Revenue&amp;EBITDA'!F107</f>
        <v>-0.04043126685</v>
      </c>
      <c r="G107" s="63">
        <f>'Quarterly Revenue&amp;EBITDA'!G222/'Quarterly Revenue&amp;EBITDA'!G107</f>
        <v>0.1401347311</v>
      </c>
      <c r="H107" s="63">
        <f>'Quarterly Revenue&amp;EBITDA'!H222/'Quarterly Revenue&amp;EBITDA'!H107</f>
        <v>0.1119253831</v>
      </c>
      <c r="I107" s="63">
        <f>'Quarterly Revenue&amp;EBITDA'!I222/'Quarterly Revenue&amp;EBITDA'!I107</f>
        <v>-0.03362800633</v>
      </c>
      <c r="J107" s="63">
        <f>'Quarterly Revenue&amp;EBITDA'!J222/'Quarterly Revenue&amp;EBITDA'!J107</f>
        <v>0.03606175475</v>
      </c>
      <c r="K107" s="63">
        <f>'Quarterly Revenue&amp;EBITDA'!K222/'Quarterly Revenue&amp;EBITDA'!K107</f>
        <v>0.08462247573</v>
      </c>
      <c r="L107" s="63">
        <f>'Quarterly Revenue&amp;EBITDA'!L222/'Quarterly Revenue&amp;EBITDA'!L107</f>
        <v>0.2047556987</v>
      </c>
      <c r="M107" s="63">
        <f>'Quarterly Revenue&amp;EBITDA'!M222/'Quarterly Revenue&amp;EBITDA'!M107</f>
        <v>0.001860408284</v>
      </c>
      <c r="N107" s="63">
        <f>'Quarterly Revenue&amp;EBITDA'!N222/'Quarterly Revenue&amp;EBITDA'!N107</f>
        <v>0.1356909176</v>
      </c>
      <c r="O107" s="65">
        <f>'Quarterly Revenue&amp;EBITDA'!O222/'Quarterly Revenue&amp;EBITDA'!O107</f>
        <v>0.07741251326</v>
      </c>
      <c r="P107" s="65">
        <f>'Quarterly Revenue&amp;EBITDA'!P222/'Quarterly Revenue&amp;EBITDA'!P107</f>
        <v>0.3928571429</v>
      </c>
      <c r="Q107" s="62"/>
      <c r="R107" s="63"/>
      <c r="S107" s="63">
        <f>'Quarterly Revenue&amp;EBITDA'!S222/'Quarterly Revenue&amp;EBITDA'!S107</f>
        <v>0.1043771044</v>
      </c>
      <c r="T107" s="63">
        <f>'Quarterly Revenue&amp;EBITDA'!T222/'Quarterly Revenue&amp;EBITDA'!T107</f>
        <v>0.436925229</v>
      </c>
      <c r="U107" s="63">
        <f>iferror('Quarterly Revenue&amp;EBITDA'!U222/'Quarterly Revenue&amp;EBITDA'!U107,"")</f>
        <v>0.01954442227</v>
      </c>
      <c r="V107" s="62"/>
      <c r="W107" s="62"/>
      <c r="X107" s="63">
        <f>'Quarterly Revenue&amp;EBITDA'!X222/'Quarterly Revenue&amp;EBITDA'!X107</f>
        <v>-0.1007156055</v>
      </c>
      <c r="Y107" s="63">
        <f>'Quarterly Revenue&amp;EBITDA'!Y222/'Quarterly Revenue&amp;EBITDA'!Y107</f>
        <v>0.2725795004</v>
      </c>
      <c r="Z107" s="63">
        <f>'Quarterly Revenue&amp;EBITDA'!Z222/'Quarterly Revenue&amp;EBITDA'!Z107</f>
        <v>0.3585807665</v>
      </c>
      <c r="AA107" s="63">
        <f>'Quarterly Revenue&amp;EBITDA'!AA222/'Quarterly Revenue&amp;EBITDA'!AA107</f>
        <v>0.09787135143</v>
      </c>
      <c r="AB107" s="63"/>
      <c r="AC107" s="63">
        <f>'Quarterly Revenue&amp;EBITDA'!AC222/'Quarterly Revenue&amp;EBITDA'!AC107</f>
        <v>0.03978805654</v>
      </c>
      <c r="AD107" s="43"/>
    </row>
    <row r="108">
      <c r="A108" s="42" t="s">
        <v>135</v>
      </c>
      <c r="B108" s="63">
        <f>'Quarterly Revenue&amp;EBITDA'!B223/'Quarterly Revenue&amp;EBITDA'!B108</f>
        <v>0.2721417069</v>
      </c>
      <c r="C108" s="63">
        <f>'Quarterly Revenue&amp;EBITDA'!C223/'Quarterly Revenue&amp;EBITDA'!C108</f>
        <v>0.2962284877</v>
      </c>
      <c r="D108" s="63">
        <f>'Quarterly Revenue&amp;EBITDA'!D223/'Quarterly Revenue&amp;EBITDA'!D108</f>
        <v>0.255807028</v>
      </c>
      <c r="E108" s="63">
        <f>'Quarterly Revenue&amp;EBITDA'!E223/'Quarterly Revenue&amp;EBITDA'!E108</f>
        <v>0.08687258687</v>
      </c>
      <c r="F108" s="63">
        <f>'Quarterly Revenue&amp;EBITDA'!F223/'Quarterly Revenue&amp;EBITDA'!F108</f>
        <v>0.08906882591</v>
      </c>
      <c r="G108" s="63">
        <f>'Quarterly Revenue&amp;EBITDA'!G223/'Quarterly Revenue&amp;EBITDA'!G108</f>
        <v>0.07906072198</v>
      </c>
      <c r="H108" s="63">
        <f>'Quarterly Revenue&amp;EBITDA'!H223/'Quarterly Revenue&amp;EBITDA'!H108</f>
        <v>0.1587301587</v>
      </c>
      <c r="I108" s="63">
        <f>'Quarterly Revenue&amp;EBITDA'!I223/'Quarterly Revenue&amp;EBITDA'!I108</f>
        <v>0.08912302748</v>
      </c>
      <c r="J108" s="63">
        <f>'Quarterly Revenue&amp;EBITDA'!J223/'Quarterly Revenue&amp;EBITDA'!J108</f>
        <v>0.09447926356</v>
      </c>
      <c r="K108" s="63">
        <f>'Quarterly Revenue&amp;EBITDA'!K223/'Quarterly Revenue&amp;EBITDA'!K108</f>
        <v>0.06196020241</v>
      </c>
      <c r="L108" s="63">
        <f>'Quarterly Revenue&amp;EBITDA'!L223/'Quarterly Revenue&amp;EBITDA'!L108</f>
        <v>0.2157525649</v>
      </c>
      <c r="M108" s="63">
        <f>'Quarterly Revenue&amp;EBITDA'!M223/'Quarterly Revenue&amp;EBITDA'!M108</f>
        <v>0.1107526882</v>
      </c>
      <c r="N108" s="63">
        <f>'Quarterly Revenue&amp;EBITDA'!N223/'Quarterly Revenue&amp;EBITDA'!N108</f>
        <v>0.09727926078</v>
      </c>
      <c r="O108" s="65">
        <f>'Quarterly Revenue&amp;EBITDA'!O223/'Quarterly Revenue&amp;EBITDA'!O108</f>
        <v>0.2188139059</v>
      </c>
      <c r="P108" s="65">
        <f>'Quarterly Revenue&amp;EBITDA'!P223/'Quarterly Revenue&amp;EBITDA'!P108</f>
        <v>0.3661202186</v>
      </c>
      <c r="Q108" s="62"/>
      <c r="R108" s="63"/>
      <c r="S108" s="63">
        <f>'Quarterly Revenue&amp;EBITDA'!S223/'Quarterly Revenue&amp;EBITDA'!S108</f>
        <v>0.1716171617</v>
      </c>
      <c r="T108" s="63">
        <f>'Quarterly Revenue&amp;EBITDA'!T223/'Quarterly Revenue&amp;EBITDA'!T108</f>
        <v>0.3343037314</v>
      </c>
      <c r="U108" s="63">
        <f>iferror('Quarterly Revenue&amp;EBITDA'!U223/'Quarterly Revenue&amp;EBITDA'!U108,"")</f>
        <v>-0.009275749481</v>
      </c>
      <c r="V108" s="62"/>
      <c r="W108" s="62"/>
      <c r="X108" s="63">
        <f>'Quarterly Revenue&amp;EBITDA'!X223/'Quarterly Revenue&amp;EBITDA'!X108</f>
        <v>-0.1007156055</v>
      </c>
      <c r="Y108" s="63">
        <f>'Quarterly Revenue&amp;EBITDA'!Y223/'Quarterly Revenue&amp;EBITDA'!Y108</f>
        <v>0.2725795004</v>
      </c>
      <c r="Z108" s="63">
        <f>'Quarterly Revenue&amp;EBITDA'!Z223/'Quarterly Revenue&amp;EBITDA'!Z108</f>
        <v>0.3585807665</v>
      </c>
      <c r="AA108" s="63">
        <f>'Quarterly Revenue&amp;EBITDA'!AA223/'Quarterly Revenue&amp;EBITDA'!AA108</f>
        <v>0.09787135143</v>
      </c>
      <c r="AB108" s="63"/>
      <c r="AC108" s="63">
        <f>'Quarterly Revenue&amp;EBITDA'!AC223/'Quarterly Revenue&amp;EBITDA'!AC108</f>
        <v>0.03978805654</v>
      </c>
      <c r="AD108" s="43"/>
    </row>
    <row r="109">
      <c r="A109" s="42" t="s">
        <v>136</v>
      </c>
      <c r="B109" s="63">
        <f>'Quarterly Revenue&amp;EBITDA'!B224/'Quarterly Revenue&amp;EBITDA'!B109</f>
        <v>0.4942596409</v>
      </c>
      <c r="C109" s="63">
        <f>'Quarterly Revenue&amp;EBITDA'!C224/'Quarterly Revenue&amp;EBITDA'!C109</f>
        <v>0.4289606321</v>
      </c>
      <c r="D109" s="63">
        <f>'Quarterly Revenue&amp;EBITDA'!D224/'Quarterly Revenue&amp;EBITDA'!D109</f>
        <v>0.3094935098</v>
      </c>
      <c r="E109" s="63">
        <f>'Quarterly Revenue&amp;EBITDA'!E224/'Quarterly Revenue&amp;EBITDA'!E109</f>
        <v>0.325198939</v>
      </c>
      <c r="F109" s="63">
        <f>'Quarterly Revenue&amp;EBITDA'!F224/'Quarterly Revenue&amp;EBITDA'!F109</f>
        <v>0.1200750469</v>
      </c>
      <c r="G109" s="63">
        <f>'Quarterly Revenue&amp;EBITDA'!G224/'Quarterly Revenue&amp;EBITDA'!G109</f>
        <v>-1.156795176</v>
      </c>
      <c r="H109" s="63">
        <f>'Quarterly Revenue&amp;EBITDA'!H224/'Quarterly Revenue&amp;EBITDA'!H109</f>
        <v>0.07020648968</v>
      </c>
      <c r="I109" s="63">
        <f>'Quarterly Revenue&amp;EBITDA'!I224/'Quarterly Revenue&amp;EBITDA'!I109</f>
        <v>0.06758001123</v>
      </c>
      <c r="J109" s="63">
        <f>'Quarterly Revenue&amp;EBITDA'!J224/'Quarterly Revenue&amp;EBITDA'!J109</f>
        <v>0.01294682554</v>
      </c>
      <c r="K109" s="63">
        <f>'Quarterly Revenue&amp;EBITDA'!K224/'Quarterly Revenue&amp;EBITDA'!K109</f>
        <v>-0.0162255563</v>
      </c>
      <c r="L109" s="63">
        <f>'Quarterly Revenue&amp;EBITDA'!L224/'Quarterly Revenue&amp;EBITDA'!L109</f>
        <v>0.07345274256</v>
      </c>
      <c r="M109" s="63">
        <f>'Quarterly Revenue&amp;EBITDA'!M224/'Quarterly Revenue&amp;EBITDA'!M109</f>
        <v>0.1354066986</v>
      </c>
      <c r="N109" s="63">
        <f>'Quarterly Revenue&amp;EBITDA'!N224/'Quarterly Revenue&amp;EBITDA'!N109</f>
        <v>0.1402041569</v>
      </c>
      <c r="O109" s="65">
        <f>'Quarterly Revenue&amp;EBITDA'!O224/'Quarterly Revenue&amp;EBITDA'!O109</f>
        <v>0.2188139059</v>
      </c>
      <c r="P109" s="65">
        <f>'Quarterly Revenue&amp;EBITDA'!P224/'Quarterly Revenue&amp;EBITDA'!P109</f>
        <v>0.3661202186</v>
      </c>
      <c r="Q109" s="62"/>
      <c r="R109" s="63"/>
      <c r="S109" s="63">
        <f>'Quarterly Revenue&amp;EBITDA'!S224/'Quarterly Revenue&amp;EBITDA'!S109</f>
        <v>0.1533742331</v>
      </c>
      <c r="T109" s="63">
        <f>'Quarterly Revenue&amp;EBITDA'!T224/'Quarterly Revenue&amp;EBITDA'!T109</f>
        <v>0.5609203035</v>
      </c>
      <c r="U109" s="63">
        <f>iferror('Quarterly Revenue&amp;EBITDA'!U224/'Quarterly Revenue&amp;EBITDA'!U109,"")</f>
        <v>-0.2780359491</v>
      </c>
      <c r="V109" s="62"/>
      <c r="W109" s="62"/>
      <c r="X109" s="63">
        <f>'Quarterly Revenue&amp;EBITDA'!X224/'Quarterly Revenue&amp;EBITDA'!X109</f>
        <v>0.09696454954</v>
      </c>
      <c r="Y109" s="63">
        <f>'Quarterly Revenue&amp;EBITDA'!Y224/'Quarterly Revenue&amp;EBITDA'!Y109</f>
        <v>0.2725795004</v>
      </c>
      <c r="Z109" s="63">
        <f>'Quarterly Revenue&amp;EBITDA'!Z224/'Quarterly Revenue&amp;EBITDA'!Z109</f>
        <v>0.3585807665</v>
      </c>
      <c r="AA109" s="63">
        <f>'Quarterly Revenue&amp;EBITDA'!AA224/'Quarterly Revenue&amp;EBITDA'!AA109</f>
        <v>0.09787135143</v>
      </c>
      <c r="AB109" s="63"/>
      <c r="AC109" s="63">
        <f>'Quarterly Revenue&amp;EBITDA'!AC224/'Quarterly Revenue&amp;EBITDA'!AC109</f>
        <v>0.03978805654</v>
      </c>
      <c r="AD109" s="43"/>
    </row>
    <row r="110">
      <c r="A110" s="42" t="s">
        <v>137</v>
      </c>
      <c r="B110" s="63">
        <f>'Quarterly Revenue&amp;EBITDA'!B225/'Quarterly Revenue&amp;EBITDA'!B110</f>
        <v>-0.1726780884</v>
      </c>
      <c r="C110" s="63">
        <f>'Quarterly Revenue&amp;EBITDA'!C225/'Quarterly Revenue&amp;EBITDA'!C110</f>
        <v>0.08591137124</v>
      </c>
      <c r="D110" s="63">
        <f>'Quarterly Revenue&amp;EBITDA'!D225/'Quarterly Revenue&amp;EBITDA'!D110</f>
        <v>0.1842743332</v>
      </c>
      <c r="E110" s="63">
        <f>'Quarterly Revenue&amp;EBITDA'!E225/'Quarterly Revenue&amp;EBITDA'!E110</f>
        <v>0.1346153846</v>
      </c>
      <c r="F110" s="63">
        <f>'Quarterly Revenue&amp;EBITDA'!F225/'Quarterly Revenue&amp;EBITDA'!F110</f>
        <v>0.08205128205</v>
      </c>
      <c r="G110" s="63">
        <f>'Quarterly Revenue&amp;EBITDA'!G225/'Quarterly Revenue&amp;EBITDA'!G110</f>
        <v>0.0588896038</v>
      </c>
      <c r="H110" s="63">
        <f>'Quarterly Revenue&amp;EBITDA'!H225/'Quarterly Revenue&amp;EBITDA'!H110</f>
        <v>0.1032608696</v>
      </c>
      <c r="I110" s="63">
        <f>'Quarterly Revenue&amp;EBITDA'!I225/'Quarterly Revenue&amp;EBITDA'!I110</f>
        <v>0.05254345478</v>
      </c>
      <c r="J110" s="63">
        <f>'Quarterly Revenue&amp;EBITDA'!J225/'Quarterly Revenue&amp;EBITDA'!J110</f>
        <v>0.1128253725</v>
      </c>
      <c r="K110" s="63">
        <f>'Quarterly Revenue&amp;EBITDA'!K225/'Quarterly Revenue&amp;EBITDA'!K110</f>
        <v>0.09265836573</v>
      </c>
      <c r="L110" s="63">
        <f>'Quarterly Revenue&amp;EBITDA'!L225/'Quarterly Revenue&amp;EBITDA'!L110</f>
        <v>0.3225948717</v>
      </c>
      <c r="M110" s="63">
        <f>'Quarterly Revenue&amp;EBITDA'!M225/'Quarterly Revenue&amp;EBITDA'!M110</f>
        <v>0.00833604998</v>
      </c>
      <c r="N110" s="63">
        <f>'Quarterly Revenue&amp;EBITDA'!N225/'Quarterly Revenue&amp;EBITDA'!N110</f>
        <v>0.1159718856</v>
      </c>
      <c r="O110" s="65">
        <f>'Quarterly Revenue&amp;EBITDA'!O225/'Quarterly Revenue&amp;EBITDA'!O110</f>
        <v>0.2431718062</v>
      </c>
      <c r="P110" s="65">
        <f>'Quarterly Revenue&amp;EBITDA'!P225/'Quarterly Revenue&amp;EBITDA'!P110</f>
        <v>0.5683333333</v>
      </c>
      <c r="Q110" s="62"/>
      <c r="R110" s="63"/>
      <c r="S110" s="63">
        <f>'Quarterly Revenue&amp;EBITDA'!S225/'Quarterly Revenue&amp;EBITDA'!S110</f>
        <v>0.03846153846</v>
      </c>
      <c r="T110" s="63">
        <f>'Quarterly Revenue&amp;EBITDA'!T225/'Quarterly Revenue&amp;EBITDA'!T110</f>
        <v>0.5116256387</v>
      </c>
      <c r="U110" s="63">
        <f>iferror('Quarterly Revenue&amp;EBITDA'!U225/'Quarterly Revenue&amp;EBITDA'!U110,"")</f>
        <v>-0.02461101137</v>
      </c>
      <c r="V110" s="62"/>
      <c r="W110" s="62"/>
      <c r="X110" s="63">
        <f>'Quarterly Revenue&amp;EBITDA'!X225/'Quarterly Revenue&amp;EBITDA'!X110</f>
        <v>0.09696454954</v>
      </c>
      <c r="Y110" s="63">
        <f>'Quarterly Revenue&amp;EBITDA'!Y225/'Quarterly Revenue&amp;EBITDA'!Y110</f>
        <v>0.2725795004</v>
      </c>
      <c r="Z110" s="63">
        <f>'Quarterly Revenue&amp;EBITDA'!Z225/'Quarterly Revenue&amp;EBITDA'!Z110</f>
        <v>0.3585807665</v>
      </c>
      <c r="AA110" s="63">
        <f>'Quarterly Revenue&amp;EBITDA'!AA225/'Quarterly Revenue&amp;EBITDA'!AA110</f>
        <v>0.09787135143</v>
      </c>
      <c r="AB110" s="63"/>
      <c r="AC110" s="63">
        <f>'Quarterly Revenue&amp;EBITDA'!AC225/'Quarterly Revenue&amp;EBITDA'!AC110</f>
        <v>0.03978805654</v>
      </c>
      <c r="AD110" s="43"/>
    </row>
    <row r="111">
      <c r="A111" s="42" t="s">
        <v>138</v>
      </c>
      <c r="B111" s="63">
        <f>'Quarterly Revenue&amp;EBITDA'!B226/'Quarterly Revenue&amp;EBITDA'!B111</f>
        <v>0.1367880486</v>
      </c>
      <c r="C111" s="63">
        <f>'Quarterly Revenue&amp;EBITDA'!C226/'Quarterly Revenue&amp;EBITDA'!C111</f>
        <v>0.2122310306</v>
      </c>
      <c r="D111" s="63">
        <f>'Quarterly Revenue&amp;EBITDA'!D226/'Quarterly Revenue&amp;EBITDA'!D111</f>
        <v>0.08826583593</v>
      </c>
      <c r="E111" s="63">
        <f>'Quarterly Revenue&amp;EBITDA'!E226/'Quarterly Revenue&amp;EBITDA'!E111</f>
        <v>0.3494851605</v>
      </c>
      <c r="F111" s="63">
        <f>'Quarterly Revenue&amp;EBITDA'!F226/'Quarterly Revenue&amp;EBITDA'!F111</f>
        <v>-0.04050632911</v>
      </c>
      <c r="G111" s="63">
        <f>'Quarterly Revenue&amp;EBITDA'!G226/'Quarterly Revenue&amp;EBITDA'!G111</f>
        <v>-0.1056689342</v>
      </c>
      <c r="H111" s="63">
        <f>'Quarterly Revenue&amp;EBITDA'!H226/'Quarterly Revenue&amp;EBITDA'!H111</f>
        <v>0.1591448931</v>
      </c>
      <c r="I111" s="63">
        <f>'Quarterly Revenue&amp;EBITDA'!I226/'Quarterly Revenue&amp;EBITDA'!I111</f>
        <v>0.1155843408</v>
      </c>
      <c r="J111" s="63">
        <f>'Quarterly Revenue&amp;EBITDA'!J226/'Quarterly Revenue&amp;EBITDA'!J111</f>
        <v>0.2365750393</v>
      </c>
      <c r="K111" s="63">
        <f>'Quarterly Revenue&amp;EBITDA'!K226/'Quarterly Revenue&amp;EBITDA'!K111</f>
        <v>0.09307530671</v>
      </c>
      <c r="L111" s="63">
        <f>'Quarterly Revenue&amp;EBITDA'!L226/'Quarterly Revenue&amp;EBITDA'!L111</f>
        <v>0.1516225909</v>
      </c>
      <c r="M111" s="63">
        <f>'Quarterly Revenue&amp;EBITDA'!M226/'Quarterly Revenue&amp;EBITDA'!M111</f>
        <v>0.02430469018</v>
      </c>
      <c r="N111" s="63">
        <f>'Quarterly Revenue&amp;EBITDA'!N226/'Quarterly Revenue&amp;EBITDA'!N111</f>
        <v>0.06846565566</v>
      </c>
      <c r="O111" s="65">
        <f>'Quarterly Revenue&amp;EBITDA'!O226/'Quarterly Revenue&amp;EBITDA'!O111</f>
        <v>0.2431718062</v>
      </c>
      <c r="P111" s="65">
        <f>'Quarterly Revenue&amp;EBITDA'!P226/'Quarterly Revenue&amp;EBITDA'!P111</f>
        <v>0.5683333333</v>
      </c>
      <c r="Q111" s="62"/>
      <c r="R111" s="63"/>
      <c r="S111" s="63">
        <f>'Quarterly Revenue&amp;EBITDA'!S226/'Quarterly Revenue&amp;EBITDA'!S111</f>
        <v>0.118622449</v>
      </c>
      <c r="T111" s="63">
        <f>'Quarterly Revenue&amp;EBITDA'!T226/'Quarterly Revenue&amp;EBITDA'!T111</f>
        <v>0.4363064284</v>
      </c>
      <c r="U111" s="63">
        <f>iferror('Quarterly Revenue&amp;EBITDA'!U226/'Quarterly Revenue&amp;EBITDA'!U111,"")</f>
        <v>0.007458048477</v>
      </c>
      <c r="V111" s="62"/>
      <c r="W111" s="62"/>
      <c r="X111" s="63">
        <f>'Quarterly Revenue&amp;EBITDA'!X226/'Quarterly Revenue&amp;EBITDA'!X111</f>
        <v>0.09696454954</v>
      </c>
      <c r="Y111" s="63"/>
      <c r="Z111" s="63"/>
      <c r="AA111" s="63"/>
      <c r="AB111" s="63"/>
      <c r="AC111" s="63"/>
      <c r="AD111" s="43"/>
    </row>
    <row r="112">
      <c r="A112" s="42" t="s">
        <v>139</v>
      </c>
      <c r="B112" s="63">
        <f>'Quarterly Revenue&amp;EBITDA'!B227/'Quarterly Revenue&amp;EBITDA'!B112</f>
        <v>0.2478165939</v>
      </c>
      <c r="C112" s="63">
        <f>'Quarterly Revenue&amp;EBITDA'!C227/'Quarterly Revenue&amp;EBITDA'!C112</f>
        <v>0.328042328</v>
      </c>
      <c r="D112" s="63">
        <f>'Quarterly Revenue&amp;EBITDA'!D227/'Quarterly Revenue&amp;EBITDA'!D112</f>
        <v>0.2209106239</v>
      </c>
      <c r="E112" s="63">
        <f>'Quarterly Revenue&amp;EBITDA'!E227/'Quarterly Revenue&amp;EBITDA'!E112</f>
        <v>0.2728823195</v>
      </c>
      <c r="F112" s="63">
        <f>'Quarterly Revenue&amp;EBITDA'!F227/'Quarterly Revenue&amp;EBITDA'!F112</f>
        <v>0.07645875252</v>
      </c>
      <c r="G112" s="63">
        <f>'Quarterly Revenue&amp;EBITDA'!G227/'Quarterly Revenue&amp;EBITDA'!G112</f>
        <v>-0.06590079034</v>
      </c>
      <c r="H112" s="63">
        <f>'Quarterly Revenue&amp;EBITDA'!H227/'Quarterly Revenue&amp;EBITDA'!H112</f>
        <v>0.1175</v>
      </c>
      <c r="I112" s="63">
        <f>'Quarterly Revenue&amp;EBITDA'!I227/'Quarterly Revenue&amp;EBITDA'!I112</f>
        <v>0.06310829141</v>
      </c>
      <c r="J112" s="63">
        <f>'Quarterly Revenue&amp;EBITDA'!J227/'Quarterly Revenue&amp;EBITDA'!J112</f>
        <v>0.1159756246</v>
      </c>
      <c r="K112" s="63">
        <f>'Quarterly Revenue&amp;EBITDA'!K227/'Quarterly Revenue&amp;EBITDA'!K112</f>
        <v>0.08778489255</v>
      </c>
      <c r="L112" s="63">
        <f>'Quarterly Revenue&amp;EBITDA'!L227/'Quarterly Revenue&amp;EBITDA'!L112</f>
        <v>0.1656001395</v>
      </c>
      <c r="M112" s="63">
        <f>'Quarterly Revenue&amp;EBITDA'!M227/'Quarterly Revenue&amp;EBITDA'!M112</f>
        <v>0.09259259259</v>
      </c>
      <c r="N112" s="63">
        <f>'Quarterly Revenue&amp;EBITDA'!N227/'Quarterly Revenue&amp;EBITDA'!N112</f>
        <v>0.1770279924</v>
      </c>
      <c r="O112" s="65" t="str">
        <f>'Quarterly Revenue&amp;EBITDA'!O227/'Quarterly Revenue&amp;EBITDA'!O112</f>
        <v>#DIV/0!</v>
      </c>
      <c r="P112" s="65">
        <f>'Quarterly Revenue&amp;EBITDA'!P227/'Quarterly Revenue&amp;EBITDA'!P112</f>
        <v>0.4412238325</v>
      </c>
      <c r="Q112" s="62"/>
      <c r="R112" s="63"/>
      <c r="S112" s="63">
        <f>'Quarterly Revenue&amp;EBITDA'!S227/'Quarterly Revenue&amp;EBITDA'!S112</f>
        <v>0.1589327146</v>
      </c>
      <c r="T112" s="63">
        <f>'Quarterly Revenue&amp;EBITDA'!T227/'Quarterly Revenue&amp;EBITDA'!T112</f>
        <v>0.4204237621</v>
      </c>
      <c r="U112" s="63">
        <f>iferror('Quarterly Revenue&amp;EBITDA'!U227/'Quarterly Revenue&amp;EBITDA'!U112,"")</f>
        <v>0.002934411928</v>
      </c>
      <c r="V112" s="62"/>
      <c r="W112" s="62"/>
      <c r="X112" s="63">
        <f>'Quarterly Revenue&amp;EBITDA'!X227/'Quarterly Revenue&amp;EBITDA'!X112</f>
        <v>0.09696454954</v>
      </c>
      <c r="Y112" s="63"/>
      <c r="Z112" s="63"/>
      <c r="AA112" s="63"/>
      <c r="AB112" s="63"/>
      <c r="AC112" s="63"/>
      <c r="AD112" s="43"/>
    </row>
    <row r="113">
      <c r="A113" s="42" t="s">
        <v>140</v>
      </c>
      <c r="B113" s="63">
        <f>'Quarterly Revenue&amp;EBITDA'!B228/'Quarterly Revenue&amp;EBITDA'!B113</f>
        <v>0.4648981779</v>
      </c>
      <c r="C113" s="63">
        <f>'Quarterly Revenue&amp;EBITDA'!C228/'Quarterly Revenue&amp;EBITDA'!C113</f>
        <v>0.3588941706</v>
      </c>
      <c r="D113" s="63">
        <f>'Quarterly Revenue&amp;EBITDA'!D228/'Quarterly Revenue&amp;EBITDA'!D113</f>
        <v>0.3078817734</v>
      </c>
      <c r="E113" s="63">
        <f>'Quarterly Revenue&amp;EBITDA'!E228/'Quarterly Revenue&amp;EBITDA'!E113</f>
        <v>0.4379690949</v>
      </c>
      <c r="F113" s="63">
        <f>'Quarterly Revenue&amp;EBITDA'!F228/'Quarterly Revenue&amp;EBITDA'!F113</f>
        <v>0.1240601504</v>
      </c>
      <c r="G113" s="63">
        <f>'Quarterly Revenue&amp;EBITDA'!G228/'Quarterly Revenue&amp;EBITDA'!G113</f>
        <v>-0.1257538316</v>
      </c>
      <c r="H113" s="63">
        <f>'Quarterly Revenue&amp;EBITDA'!H228/'Quarterly Revenue&amp;EBITDA'!H113</f>
        <v>0.1191895113</v>
      </c>
      <c r="I113" s="63">
        <f>'Quarterly Revenue&amp;EBITDA'!I228/'Quarterly Revenue&amp;EBITDA'!I113</f>
        <v>0.03759154203</v>
      </c>
      <c r="J113" s="63">
        <f>'Quarterly Revenue&amp;EBITDA'!J228/'Quarterly Revenue&amp;EBITDA'!J113</f>
        <v>0.1210940647</v>
      </c>
      <c r="K113" s="63">
        <f>'Quarterly Revenue&amp;EBITDA'!K228/'Quarterly Revenue&amp;EBITDA'!K113</f>
        <v>0.09222050978</v>
      </c>
      <c r="L113" s="63">
        <f>'Quarterly Revenue&amp;EBITDA'!L228/'Quarterly Revenue&amp;EBITDA'!L113</f>
        <v>0.1240379615</v>
      </c>
      <c r="M113" s="63">
        <f>'Quarterly Revenue&amp;EBITDA'!M228/'Quarterly Revenue&amp;EBITDA'!M113</f>
        <v>0.09563937838</v>
      </c>
      <c r="N113" s="63">
        <f>'Quarterly Revenue&amp;EBITDA'!N228/'Quarterly Revenue&amp;EBITDA'!N113</f>
        <v>0.1671386389</v>
      </c>
      <c r="O113" s="65" t="str">
        <f>'Quarterly Revenue&amp;EBITDA'!O228/'Quarterly Revenue&amp;EBITDA'!O113</f>
        <v>#DIV/0!</v>
      </c>
      <c r="P113" s="65">
        <f>'Quarterly Revenue&amp;EBITDA'!P228/'Quarterly Revenue&amp;EBITDA'!P113</f>
        <v>0.4412238325</v>
      </c>
      <c r="Q113" s="62"/>
      <c r="R113" s="63"/>
      <c r="S113" s="63">
        <f>'Quarterly Revenue&amp;EBITDA'!S228/'Quarterly Revenue&amp;EBITDA'!S113</f>
        <v>0.1476355248</v>
      </c>
      <c r="T113" s="63">
        <f>'Quarterly Revenue&amp;EBITDA'!T228/'Quarterly Revenue&amp;EBITDA'!T113</f>
        <v>0.3459396582</v>
      </c>
      <c r="U113" s="63">
        <f>iferror('Quarterly Revenue&amp;EBITDA'!U228/'Quarterly Revenue&amp;EBITDA'!U113,"")</f>
        <v>-0.0000354408846</v>
      </c>
      <c r="V113" s="62"/>
      <c r="W113" s="62"/>
      <c r="X113" s="63"/>
      <c r="Y113" s="63"/>
      <c r="Z113" s="63"/>
      <c r="AA113" s="63"/>
      <c r="AB113" s="63"/>
      <c r="AC113" s="63"/>
      <c r="AD113" s="43"/>
    </row>
    <row r="114">
      <c r="A114" s="42" t="s">
        <v>141</v>
      </c>
      <c r="B114" s="63">
        <f>'Quarterly Revenue&amp;EBITDA'!B229/'Quarterly Revenue&amp;EBITDA'!B114</f>
        <v>0.2508064516</v>
      </c>
      <c r="C114" s="63">
        <f>'Quarterly Revenue&amp;EBITDA'!C229/'Quarterly Revenue&amp;EBITDA'!C114</f>
        <v>0.2858709559</v>
      </c>
      <c r="D114" s="63">
        <f>'Quarterly Revenue&amp;EBITDA'!D229/'Quarterly Revenue&amp;EBITDA'!D114</f>
        <v>0.2019472362</v>
      </c>
      <c r="E114" s="63">
        <f>'Quarterly Revenue&amp;EBITDA'!E229/'Quarterly Revenue&amp;EBITDA'!E114</f>
        <v>0.1846769583</v>
      </c>
      <c r="F114" s="63">
        <f>'Quarterly Revenue&amp;EBITDA'!F229/'Quarterly Revenue&amp;EBITDA'!F114</f>
        <v>-0.002433090024</v>
      </c>
      <c r="G114" s="63">
        <f>'Quarterly Revenue&amp;EBITDA'!G229/'Quarterly Revenue&amp;EBITDA'!G114</f>
        <v>0.09132155104</v>
      </c>
      <c r="H114" s="63">
        <f>'Quarterly Revenue&amp;EBITDA'!H229/'Quarterly Revenue&amp;EBITDA'!H114</f>
        <v>0.1690314621</v>
      </c>
      <c r="I114" s="63" t="str">
        <f>'Quarterly Revenue&amp;EBITDA'!I229/'Quarterly Revenue&amp;EBITDA'!I114</f>
        <v>#DIV/0!</v>
      </c>
      <c r="J114" s="63">
        <f>'Quarterly Revenue&amp;EBITDA'!J229/'Quarterly Revenue&amp;EBITDA'!J114</f>
        <v>0.1117024858</v>
      </c>
      <c r="K114" s="63">
        <f>'Quarterly Revenue&amp;EBITDA'!K229/'Quarterly Revenue&amp;EBITDA'!K114</f>
        <v>0.09438767248</v>
      </c>
      <c r="L114" s="63" t="str">
        <f>'Quarterly Revenue&amp;EBITDA'!L229/'Quarterly Revenue&amp;EBITDA'!L114</f>
        <v>#DIV/0!</v>
      </c>
      <c r="M114" s="63" t="str">
        <f>'Quarterly Revenue&amp;EBITDA'!M229/'Quarterly Revenue&amp;EBITDA'!M114</f>
        <v>#DIV/0!</v>
      </c>
      <c r="N114" s="63">
        <f>'Quarterly Revenue&amp;EBITDA'!N229/'Quarterly Revenue&amp;EBITDA'!N114</f>
        <v>0.01601356715</v>
      </c>
      <c r="O114" s="65" t="str">
        <f>'Quarterly Revenue&amp;EBITDA'!O229/'Quarterly Revenue&amp;EBITDA'!O114</f>
        <v>#DIV/0!</v>
      </c>
      <c r="P114" s="65" t="str">
        <f>'Quarterly Revenue&amp;EBITDA'!P229/'Quarterly Revenue&amp;EBITDA'!P114</f>
        <v>#DIV/0!</v>
      </c>
      <c r="Q114" s="62"/>
      <c r="R114" s="62"/>
      <c r="S114" s="63">
        <f>'Quarterly Revenue&amp;EBITDA'!S229/'Quarterly Revenue&amp;EBITDA'!S114</f>
        <v>0</v>
      </c>
      <c r="T114" s="63">
        <f>'Quarterly Revenue&amp;EBITDA'!T229/'Quarterly Revenue&amp;EBITDA'!T114</f>
        <v>0.406622936</v>
      </c>
      <c r="U114" s="63">
        <f>iferror('Quarterly Revenue&amp;EBITDA'!U229/'Quarterly Revenue&amp;EBITDA'!U114,"")</f>
        <v>0.01725016377</v>
      </c>
      <c r="V114" s="62"/>
      <c r="W114" s="62"/>
      <c r="X114" s="63"/>
      <c r="Y114" s="63"/>
      <c r="Z114" s="63"/>
      <c r="AA114" s="63"/>
      <c r="AB114" s="63"/>
      <c r="AC114" s="63"/>
      <c r="AD114" s="43"/>
    </row>
    <row r="115">
      <c r="A115" s="43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4"/>
      <c r="P115" s="62"/>
      <c r="Q115" s="62"/>
      <c r="R115" s="62"/>
      <c r="S115" s="62"/>
      <c r="T115" s="62"/>
      <c r="U115" s="62"/>
      <c r="V115" s="62"/>
      <c r="W115" s="62"/>
      <c r="X115" s="63"/>
      <c r="Y115" s="43"/>
      <c r="Z115" s="43"/>
      <c r="AA115" s="43"/>
      <c r="AB115" s="43"/>
      <c r="AC115" s="43"/>
      <c r="AD115" s="43"/>
    </row>
    <row r="116">
      <c r="A116" s="43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4"/>
      <c r="P116" s="62"/>
      <c r="Q116" s="62"/>
      <c r="R116" s="62"/>
      <c r="S116" s="62"/>
      <c r="T116" s="62"/>
      <c r="U116" s="62"/>
      <c r="V116" s="62"/>
      <c r="W116" s="62"/>
      <c r="X116" s="62"/>
      <c r="Y116" s="43"/>
      <c r="Z116" s="43"/>
      <c r="AA116" s="43"/>
      <c r="AB116" s="43"/>
      <c r="AC116" s="43"/>
      <c r="AD116" s="43"/>
    </row>
    <row r="117">
      <c r="A117" s="43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4"/>
      <c r="P117" s="62"/>
      <c r="Q117" s="62"/>
      <c r="R117" s="62"/>
      <c r="S117" s="62"/>
      <c r="T117" s="62"/>
      <c r="U117" s="62"/>
      <c r="V117" s="62"/>
      <c r="W117" s="62"/>
      <c r="X117" s="62"/>
      <c r="Y117" s="43"/>
      <c r="Z117" s="43"/>
      <c r="AA117" s="43"/>
      <c r="AB117" s="43"/>
      <c r="AC117" s="43"/>
      <c r="AD117" s="43"/>
    </row>
    <row r="118">
      <c r="A118" s="43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4"/>
      <c r="P118" s="62"/>
      <c r="Q118" s="62"/>
      <c r="R118" s="62"/>
      <c r="S118" s="62"/>
      <c r="T118" s="62"/>
      <c r="U118" s="62"/>
      <c r="V118" s="62"/>
      <c r="W118" s="62"/>
      <c r="X118" s="62"/>
      <c r="Y118" s="43"/>
      <c r="Z118" s="43"/>
      <c r="AA118" s="43"/>
      <c r="AB118" s="43"/>
      <c r="AC118" s="43"/>
      <c r="AD118" s="43"/>
    </row>
    <row r="119">
      <c r="A119" s="43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4"/>
      <c r="P119" s="62"/>
      <c r="Q119" s="62"/>
      <c r="R119" s="62"/>
      <c r="S119" s="62"/>
      <c r="T119" s="62"/>
      <c r="U119" s="62"/>
      <c r="V119" s="62"/>
      <c r="W119" s="62"/>
      <c r="X119" s="62"/>
      <c r="Y119" s="43"/>
      <c r="Z119" s="43"/>
      <c r="AA119" s="43"/>
      <c r="AB119" s="43"/>
      <c r="AC119" s="43"/>
      <c r="AD119" s="43"/>
    </row>
    <row r="120">
      <c r="A120" s="43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4"/>
      <c r="P120" s="62"/>
      <c r="Q120" s="62"/>
      <c r="R120" s="62"/>
      <c r="S120" s="62"/>
      <c r="T120" s="62"/>
      <c r="U120" s="62"/>
      <c r="V120" s="62"/>
      <c r="W120" s="62"/>
      <c r="X120" s="62"/>
      <c r="Y120" s="43"/>
      <c r="Z120" s="43"/>
      <c r="AA120" s="43"/>
      <c r="AB120" s="43"/>
      <c r="AC120" s="43"/>
      <c r="AD120" s="43"/>
    </row>
    <row r="121">
      <c r="A121" s="43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4"/>
      <c r="P121" s="62"/>
      <c r="Q121" s="62"/>
      <c r="R121" s="62"/>
      <c r="S121" s="62"/>
      <c r="T121" s="62"/>
      <c r="U121" s="62"/>
      <c r="V121" s="62"/>
      <c r="W121" s="62"/>
      <c r="X121" s="62"/>
      <c r="Y121" s="43"/>
      <c r="Z121" s="43"/>
      <c r="AA121" s="43"/>
      <c r="AB121" s="43"/>
      <c r="AC121" s="43"/>
      <c r="AD121" s="43"/>
    </row>
    <row r="122">
      <c r="A122" s="43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4"/>
      <c r="P122" s="62"/>
      <c r="Q122" s="62"/>
      <c r="R122" s="62"/>
      <c r="S122" s="62"/>
      <c r="T122" s="62"/>
      <c r="U122" s="62"/>
      <c r="V122" s="62"/>
      <c r="W122" s="62"/>
      <c r="X122" s="62"/>
      <c r="Y122" s="43"/>
      <c r="Z122" s="43"/>
      <c r="AA122" s="43"/>
      <c r="AB122" s="43"/>
      <c r="AC122" s="43"/>
      <c r="AD122" s="43"/>
    </row>
    <row r="123">
      <c r="A123" s="43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4"/>
      <c r="P123" s="62"/>
      <c r="Q123" s="62"/>
      <c r="R123" s="62"/>
      <c r="S123" s="62"/>
      <c r="T123" s="62"/>
      <c r="U123" s="62"/>
      <c r="V123" s="62"/>
      <c r="W123" s="62"/>
      <c r="X123" s="62"/>
      <c r="Y123" s="43"/>
      <c r="Z123" s="43"/>
      <c r="AA123" s="43"/>
      <c r="AB123" s="43"/>
      <c r="AC123" s="43"/>
      <c r="AD123" s="43"/>
    </row>
    <row r="124">
      <c r="A124" s="43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4"/>
      <c r="P124" s="62"/>
      <c r="Q124" s="62"/>
      <c r="R124" s="62"/>
      <c r="S124" s="62"/>
      <c r="T124" s="62"/>
      <c r="U124" s="62"/>
      <c r="V124" s="62"/>
      <c r="W124" s="62"/>
      <c r="X124" s="62"/>
      <c r="Y124" s="43"/>
      <c r="Z124" s="43"/>
      <c r="AA124" s="43"/>
      <c r="AB124" s="43"/>
      <c r="AC124" s="43"/>
      <c r="AD124" s="43"/>
    </row>
    <row r="125">
      <c r="A125" s="43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4"/>
      <c r="P125" s="62"/>
      <c r="Q125" s="62"/>
      <c r="R125" s="62"/>
      <c r="S125" s="62"/>
      <c r="T125" s="62"/>
      <c r="U125" s="62"/>
      <c r="V125" s="62"/>
      <c r="W125" s="62"/>
      <c r="X125" s="62"/>
      <c r="Y125" s="43"/>
      <c r="Z125" s="43"/>
      <c r="AA125" s="43"/>
      <c r="AB125" s="43"/>
      <c r="AC125" s="43"/>
      <c r="AD125" s="43"/>
    </row>
    <row r="126">
      <c r="A126" s="43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4"/>
      <c r="P126" s="62"/>
      <c r="Q126" s="62"/>
      <c r="R126" s="62"/>
      <c r="S126" s="62"/>
      <c r="T126" s="62"/>
      <c r="U126" s="62"/>
      <c r="V126" s="62"/>
      <c r="W126" s="62"/>
      <c r="X126" s="62"/>
      <c r="Y126" s="43"/>
      <c r="Z126" s="43"/>
      <c r="AA126" s="43"/>
      <c r="AB126" s="43"/>
      <c r="AC126" s="43"/>
      <c r="AD126" s="43"/>
    </row>
    <row r="127">
      <c r="A127" s="43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4"/>
      <c r="P127" s="62"/>
      <c r="Q127" s="62"/>
      <c r="R127" s="62"/>
      <c r="S127" s="62"/>
      <c r="T127" s="62"/>
      <c r="U127" s="62"/>
      <c r="V127" s="62"/>
      <c r="W127" s="62"/>
      <c r="X127" s="62"/>
      <c r="Y127" s="43"/>
      <c r="Z127" s="43"/>
      <c r="AA127" s="43"/>
      <c r="AB127" s="43"/>
      <c r="AC127" s="43"/>
      <c r="AD127" s="43"/>
    </row>
    <row r="128">
      <c r="A128" s="43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4"/>
      <c r="P128" s="62"/>
      <c r="Q128" s="62"/>
      <c r="R128" s="62"/>
      <c r="S128" s="62"/>
      <c r="T128" s="62"/>
      <c r="U128" s="62"/>
      <c r="V128" s="62"/>
      <c r="W128" s="62"/>
      <c r="X128" s="62"/>
      <c r="Y128" s="43"/>
      <c r="Z128" s="43"/>
      <c r="AA128" s="43"/>
      <c r="AB128" s="43"/>
      <c r="AC128" s="43"/>
      <c r="AD128" s="43"/>
    </row>
    <row r="129">
      <c r="A129" s="43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4"/>
      <c r="P129" s="62"/>
      <c r="Q129" s="62"/>
      <c r="R129" s="62"/>
      <c r="S129" s="62"/>
      <c r="T129" s="62"/>
      <c r="U129" s="62"/>
      <c r="V129" s="62"/>
      <c r="W129" s="62"/>
      <c r="X129" s="62"/>
      <c r="Y129" s="43"/>
      <c r="Z129" s="43"/>
      <c r="AA129" s="43"/>
      <c r="AB129" s="43"/>
      <c r="AC129" s="43"/>
      <c r="AD129" s="43"/>
    </row>
    <row r="130">
      <c r="A130" s="43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4"/>
      <c r="P130" s="62"/>
      <c r="Q130" s="62"/>
      <c r="R130" s="62"/>
      <c r="S130" s="62"/>
      <c r="T130" s="62"/>
      <c r="U130" s="62"/>
      <c r="V130" s="62"/>
      <c r="W130" s="62"/>
      <c r="X130" s="62"/>
      <c r="Y130" s="43"/>
      <c r="Z130" s="43"/>
      <c r="AA130" s="43"/>
      <c r="AB130" s="43"/>
      <c r="AC130" s="43"/>
      <c r="AD130" s="43"/>
    </row>
    <row r="131">
      <c r="A131" s="43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4"/>
      <c r="P131" s="62"/>
      <c r="Q131" s="62"/>
      <c r="R131" s="62"/>
      <c r="S131" s="62"/>
      <c r="T131" s="62"/>
      <c r="U131" s="62"/>
      <c r="V131" s="62"/>
      <c r="W131" s="62"/>
      <c r="X131" s="62"/>
      <c r="Y131" s="43"/>
      <c r="Z131" s="43"/>
      <c r="AA131" s="43"/>
      <c r="AB131" s="43"/>
      <c r="AC131" s="43"/>
      <c r="AD131" s="43"/>
    </row>
    <row r="132">
      <c r="A132" s="43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4"/>
      <c r="P132" s="62"/>
      <c r="Q132" s="62"/>
      <c r="R132" s="62"/>
      <c r="S132" s="62"/>
      <c r="T132" s="62"/>
      <c r="U132" s="62"/>
      <c r="V132" s="62"/>
      <c r="W132" s="62"/>
      <c r="X132" s="62"/>
      <c r="Y132" s="43"/>
      <c r="Z132" s="43"/>
      <c r="AA132" s="43"/>
      <c r="AB132" s="43"/>
      <c r="AC132" s="43"/>
      <c r="AD132" s="43"/>
    </row>
    <row r="133">
      <c r="A133" s="43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4"/>
      <c r="P133" s="62"/>
      <c r="Q133" s="62"/>
      <c r="R133" s="62"/>
      <c r="S133" s="62"/>
      <c r="T133" s="62"/>
      <c r="U133" s="62"/>
      <c r="V133" s="62"/>
      <c r="W133" s="62"/>
      <c r="X133" s="62"/>
      <c r="Y133" s="43"/>
      <c r="Z133" s="43"/>
      <c r="AA133" s="43"/>
      <c r="AB133" s="43"/>
      <c r="AC133" s="43"/>
      <c r="AD133" s="43"/>
    </row>
    <row r="134">
      <c r="A134" s="43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4"/>
      <c r="P134" s="62"/>
      <c r="Q134" s="62"/>
      <c r="R134" s="62"/>
      <c r="S134" s="62"/>
      <c r="T134" s="62"/>
      <c r="U134" s="62"/>
      <c r="V134" s="62"/>
      <c r="W134" s="62"/>
      <c r="X134" s="62"/>
      <c r="Y134" s="43"/>
      <c r="Z134" s="43"/>
      <c r="AA134" s="43"/>
      <c r="AB134" s="43"/>
      <c r="AC134" s="43"/>
      <c r="AD134" s="43"/>
    </row>
    <row r="135">
      <c r="A135" s="43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4"/>
      <c r="P135" s="62"/>
      <c r="Q135" s="62"/>
      <c r="R135" s="62"/>
      <c r="S135" s="62"/>
      <c r="T135" s="62"/>
      <c r="U135" s="62"/>
      <c r="V135" s="62"/>
      <c r="W135" s="62"/>
      <c r="X135" s="62"/>
      <c r="Y135" s="43"/>
      <c r="Z135" s="43"/>
      <c r="AA135" s="43"/>
      <c r="AB135" s="43"/>
      <c r="AC135" s="43"/>
      <c r="AD135" s="43"/>
    </row>
    <row r="136">
      <c r="A136" s="43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4"/>
      <c r="P136" s="62"/>
      <c r="Q136" s="62"/>
      <c r="R136" s="62"/>
      <c r="S136" s="62"/>
      <c r="T136" s="62"/>
      <c r="U136" s="62"/>
      <c r="V136" s="62"/>
      <c r="W136" s="62"/>
      <c r="X136" s="62"/>
      <c r="Y136" s="43"/>
      <c r="Z136" s="43"/>
      <c r="AA136" s="43"/>
      <c r="AB136" s="43"/>
      <c r="AC136" s="43"/>
      <c r="AD136" s="43"/>
    </row>
    <row r="137">
      <c r="A137" s="43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4"/>
      <c r="P137" s="62"/>
      <c r="Q137" s="62"/>
      <c r="R137" s="62"/>
      <c r="S137" s="62"/>
      <c r="T137" s="62"/>
      <c r="U137" s="62"/>
      <c r="V137" s="62"/>
      <c r="W137" s="62"/>
      <c r="X137" s="62"/>
      <c r="Y137" s="43"/>
      <c r="Z137" s="43"/>
      <c r="AA137" s="43"/>
      <c r="AB137" s="43"/>
      <c r="AC137" s="43"/>
      <c r="AD137" s="43"/>
    </row>
    <row r="138">
      <c r="A138" s="43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4"/>
      <c r="P138" s="62"/>
      <c r="Q138" s="62"/>
      <c r="R138" s="62"/>
      <c r="S138" s="62"/>
      <c r="T138" s="62"/>
      <c r="U138" s="62"/>
      <c r="V138" s="62"/>
      <c r="W138" s="62"/>
      <c r="X138" s="62"/>
      <c r="Y138" s="43"/>
      <c r="Z138" s="43"/>
      <c r="AA138" s="43"/>
      <c r="AB138" s="43"/>
      <c r="AC138" s="43"/>
      <c r="AD138" s="43"/>
    </row>
    <row r="139">
      <c r="A139" s="43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4"/>
      <c r="P139" s="62"/>
      <c r="Q139" s="62"/>
      <c r="R139" s="62"/>
      <c r="S139" s="62"/>
      <c r="T139" s="62"/>
      <c r="U139" s="62"/>
      <c r="V139" s="62"/>
      <c r="W139" s="62"/>
      <c r="X139" s="62"/>
      <c r="Y139" s="43"/>
      <c r="Z139" s="43"/>
      <c r="AA139" s="43"/>
      <c r="AB139" s="43"/>
      <c r="AC139" s="43"/>
      <c r="AD139" s="43"/>
    </row>
    <row r="140">
      <c r="A140" s="43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4"/>
      <c r="P140" s="62"/>
      <c r="Q140" s="62"/>
      <c r="R140" s="62"/>
      <c r="S140" s="62"/>
      <c r="T140" s="62"/>
      <c r="U140" s="62"/>
      <c r="V140" s="62"/>
      <c r="W140" s="62"/>
      <c r="X140" s="62"/>
      <c r="Y140" s="43"/>
      <c r="Z140" s="43"/>
      <c r="AA140" s="43"/>
      <c r="AB140" s="43"/>
      <c r="AC140" s="43"/>
      <c r="AD140" s="43"/>
    </row>
    <row r="141">
      <c r="A141" s="43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4"/>
      <c r="P141" s="62"/>
      <c r="Q141" s="62"/>
      <c r="R141" s="62"/>
      <c r="S141" s="62"/>
      <c r="T141" s="62"/>
      <c r="U141" s="62"/>
      <c r="V141" s="62"/>
      <c r="W141" s="62"/>
      <c r="X141" s="62"/>
      <c r="Y141" s="43"/>
      <c r="Z141" s="43"/>
      <c r="AA141" s="43"/>
      <c r="AB141" s="43"/>
      <c r="AC141" s="43"/>
      <c r="AD141" s="43"/>
    </row>
    <row r="142">
      <c r="A142" s="43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4"/>
      <c r="P142" s="62"/>
      <c r="Q142" s="62"/>
      <c r="R142" s="62"/>
      <c r="S142" s="62"/>
      <c r="T142" s="62"/>
      <c r="U142" s="62"/>
      <c r="V142" s="62"/>
      <c r="W142" s="62"/>
      <c r="X142" s="62"/>
      <c r="Y142" s="43"/>
      <c r="Z142" s="43"/>
      <c r="AA142" s="43"/>
      <c r="AB142" s="43"/>
      <c r="AC142" s="43"/>
      <c r="AD142" s="43"/>
    </row>
    <row r="143">
      <c r="A143" s="43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4"/>
      <c r="P143" s="62"/>
      <c r="Q143" s="62"/>
      <c r="R143" s="62"/>
      <c r="S143" s="62"/>
      <c r="T143" s="62"/>
      <c r="U143" s="62"/>
      <c r="V143" s="62"/>
      <c r="W143" s="62"/>
      <c r="X143" s="62"/>
      <c r="Y143" s="43"/>
      <c r="Z143" s="43"/>
      <c r="AA143" s="43"/>
      <c r="AB143" s="43"/>
      <c r="AC143" s="43"/>
      <c r="AD143" s="43"/>
    </row>
    <row r="144">
      <c r="A144" s="43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4"/>
      <c r="P144" s="62"/>
      <c r="Q144" s="62"/>
      <c r="R144" s="62"/>
      <c r="S144" s="62"/>
      <c r="T144" s="62"/>
      <c r="U144" s="62"/>
      <c r="V144" s="62"/>
      <c r="W144" s="62"/>
      <c r="X144" s="62"/>
      <c r="Y144" s="43"/>
      <c r="Z144" s="43"/>
      <c r="AA144" s="43"/>
      <c r="AB144" s="43"/>
      <c r="AC144" s="43"/>
      <c r="AD144" s="43"/>
    </row>
    <row r="145">
      <c r="A145" s="43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4"/>
      <c r="P145" s="62"/>
      <c r="Q145" s="62"/>
      <c r="R145" s="62"/>
      <c r="S145" s="62"/>
      <c r="T145" s="62"/>
      <c r="U145" s="62"/>
      <c r="V145" s="62"/>
      <c r="W145" s="62"/>
      <c r="X145" s="62"/>
      <c r="Y145" s="43"/>
      <c r="Z145" s="43"/>
      <c r="AA145" s="43"/>
      <c r="AB145" s="43"/>
      <c r="AC145" s="43"/>
      <c r="AD145" s="43"/>
    </row>
    <row r="146">
      <c r="A146" s="43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4"/>
      <c r="P146" s="62"/>
      <c r="Q146" s="62"/>
      <c r="R146" s="62"/>
      <c r="S146" s="62"/>
      <c r="T146" s="62"/>
      <c r="U146" s="62"/>
      <c r="V146" s="62"/>
      <c r="W146" s="62"/>
      <c r="X146" s="62"/>
      <c r="Y146" s="43"/>
      <c r="Z146" s="43"/>
      <c r="AA146" s="43"/>
      <c r="AB146" s="43"/>
      <c r="AC146" s="43"/>
      <c r="AD146" s="43"/>
    </row>
    <row r="147">
      <c r="A147" s="43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4"/>
      <c r="P147" s="62"/>
      <c r="Q147" s="62"/>
      <c r="R147" s="62"/>
      <c r="S147" s="62"/>
      <c r="T147" s="62"/>
      <c r="U147" s="62"/>
      <c r="V147" s="62"/>
      <c r="W147" s="62"/>
      <c r="X147" s="62"/>
      <c r="Y147" s="43"/>
      <c r="Z147" s="43"/>
      <c r="AA147" s="43"/>
      <c r="AB147" s="43"/>
      <c r="AC147" s="43"/>
      <c r="AD147" s="43"/>
    </row>
    <row r="148">
      <c r="A148" s="43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4"/>
      <c r="P148" s="62"/>
      <c r="Q148" s="62"/>
      <c r="R148" s="62"/>
      <c r="S148" s="62"/>
      <c r="T148" s="62"/>
      <c r="U148" s="62"/>
      <c r="V148" s="62"/>
      <c r="W148" s="62"/>
      <c r="X148" s="62"/>
      <c r="Y148" s="43"/>
      <c r="Z148" s="43"/>
      <c r="AA148" s="43"/>
      <c r="AB148" s="43"/>
      <c r="AC148" s="43"/>
      <c r="AD148" s="43"/>
    </row>
    <row r="149">
      <c r="A149" s="43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4"/>
      <c r="P149" s="62"/>
      <c r="Q149" s="62"/>
      <c r="R149" s="62"/>
      <c r="S149" s="62"/>
      <c r="T149" s="62"/>
      <c r="U149" s="62"/>
      <c r="V149" s="62"/>
      <c r="W149" s="62"/>
      <c r="X149" s="62"/>
      <c r="Y149" s="43"/>
      <c r="Z149" s="43"/>
      <c r="AA149" s="43"/>
      <c r="AB149" s="43"/>
      <c r="AC149" s="43"/>
      <c r="AD149" s="43"/>
    </row>
    <row r="150">
      <c r="A150" s="43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4"/>
      <c r="P150" s="62"/>
      <c r="Q150" s="62"/>
      <c r="R150" s="62"/>
      <c r="S150" s="62"/>
      <c r="T150" s="62"/>
      <c r="U150" s="62"/>
      <c r="V150" s="62"/>
      <c r="W150" s="62"/>
      <c r="X150" s="62"/>
      <c r="Y150" s="43"/>
      <c r="Z150" s="43"/>
      <c r="AA150" s="43"/>
      <c r="AB150" s="43"/>
      <c r="AC150" s="43"/>
      <c r="AD150" s="43"/>
    </row>
    <row r="151">
      <c r="A151" s="43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4"/>
      <c r="P151" s="62"/>
      <c r="Q151" s="62"/>
      <c r="R151" s="62"/>
      <c r="S151" s="62"/>
      <c r="T151" s="62"/>
      <c r="U151" s="62"/>
      <c r="V151" s="62"/>
      <c r="W151" s="62"/>
      <c r="X151" s="62"/>
      <c r="Y151" s="43"/>
      <c r="Z151" s="43"/>
      <c r="AA151" s="43"/>
      <c r="AB151" s="43"/>
      <c r="AC151" s="43"/>
      <c r="AD151" s="43"/>
    </row>
    <row r="152">
      <c r="A152" s="43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4"/>
      <c r="P152" s="62"/>
      <c r="Q152" s="62"/>
      <c r="R152" s="62"/>
      <c r="S152" s="62"/>
      <c r="T152" s="62"/>
      <c r="U152" s="62"/>
      <c r="V152" s="62"/>
      <c r="W152" s="62"/>
      <c r="X152" s="62"/>
      <c r="Y152" s="43"/>
      <c r="Z152" s="43"/>
      <c r="AA152" s="43"/>
      <c r="AB152" s="43"/>
      <c r="AC152" s="43"/>
      <c r="AD152" s="43"/>
    </row>
    <row r="153">
      <c r="A153" s="43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4"/>
      <c r="P153" s="62"/>
      <c r="Q153" s="62"/>
      <c r="R153" s="62"/>
      <c r="S153" s="62"/>
      <c r="T153" s="62"/>
      <c r="U153" s="62"/>
      <c r="V153" s="62"/>
      <c r="W153" s="62"/>
      <c r="X153" s="62"/>
      <c r="Y153" s="43"/>
      <c r="Z153" s="43"/>
      <c r="AA153" s="43"/>
      <c r="AB153" s="43"/>
      <c r="AC153" s="43"/>
      <c r="AD153" s="43"/>
    </row>
    <row r="154">
      <c r="A154" s="43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4"/>
      <c r="P154" s="62"/>
      <c r="Q154" s="62"/>
      <c r="R154" s="62"/>
      <c r="S154" s="62"/>
      <c r="T154" s="62"/>
      <c r="U154" s="62"/>
      <c r="V154" s="62"/>
      <c r="W154" s="62"/>
      <c r="X154" s="62"/>
      <c r="Y154" s="43"/>
      <c r="Z154" s="43"/>
      <c r="AA154" s="43"/>
      <c r="AB154" s="43"/>
      <c r="AC154" s="43"/>
      <c r="AD154" s="43"/>
    </row>
    <row r="155">
      <c r="A155" s="43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4"/>
      <c r="P155" s="62"/>
      <c r="Q155" s="62"/>
      <c r="R155" s="62"/>
      <c r="S155" s="62"/>
      <c r="T155" s="62"/>
      <c r="U155" s="62"/>
      <c r="V155" s="62"/>
      <c r="W155" s="62"/>
      <c r="X155" s="62"/>
      <c r="Y155" s="43"/>
      <c r="Z155" s="43"/>
      <c r="AA155" s="43"/>
      <c r="AB155" s="43"/>
      <c r="AC155" s="43"/>
      <c r="AD155" s="43"/>
    </row>
    <row r="156">
      <c r="A156" s="43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4"/>
      <c r="P156" s="62"/>
      <c r="Q156" s="62"/>
      <c r="R156" s="62"/>
      <c r="S156" s="62"/>
      <c r="T156" s="62"/>
      <c r="U156" s="62"/>
      <c r="V156" s="62"/>
      <c r="W156" s="62"/>
      <c r="X156" s="62"/>
      <c r="Y156" s="43"/>
      <c r="Z156" s="43"/>
      <c r="AA156" s="43"/>
      <c r="AB156" s="43"/>
      <c r="AC156" s="43"/>
      <c r="AD156" s="43"/>
    </row>
    <row r="157">
      <c r="A157" s="43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4"/>
      <c r="P157" s="62"/>
      <c r="Q157" s="62"/>
      <c r="R157" s="62"/>
      <c r="S157" s="62"/>
      <c r="T157" s="62"/>
      <c r="U157" s="62"/>
      <c r="V157" s="62"/>
      <c r="W157" s="62"/>
      <c r="X157" s="62"/>
      <c r="Y157" s="43"/>
      <c r="Z157" s="43"/>
      <c r="AA157" s="43"/>
      <c r="AB157" s="43"/>
      <c r="AC157" s="43"/>
      <c r="AD157" s="43"/>
    </row>
    <row r="158">
      <c r="A158" s="43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4"/>
      <c r="P158" s="62"/>
      <c r="Q158" s="62"/>
      <c r="R158" s="62"/>
      <c r="S158" s="62"/>
      <c r="T158" s="62"/>
      <c r="U158" s="62"/>
      <c r="V158" s="62"/>
      <c r="W158" s="62"/>
      <c r="X158" s="62"/>
      <c r="Y158" s="43"/>
      <c r="Z158" s="43"/>
      <c r="AA158" s="43"/>
      <c r="AB158" s="43"/>
      <c r="AC158" s="43"/>
      <c r="AD158" s="43"/>
    </row>
    <row r="159">
      <c r="A159" s="43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4"/>
      <c r="P159" s="62"/>
      <c r="Q159" s="62"/>
      <c r="R159" s="62"/>
      <c r="S159" s="62"/>
      <c r="T159" s="62"/>
      <c r="U159" s="62"/>
      <c r="V159" s="62"/>
      <c r="W159" s="62"/>
      <c r="X159" s="62"/>
      <c r="Y159" s="43"/>
      <c r="Z159" s="43"/>
      <c r="AA159" s="43"/>
      <c r="AB159" s="43"/>
      <c r="AC159" s="43"/>
      <c r="AD159" s="43"/>
    </row>
    <row r="160">
      <c r="A160" s="43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4"/>
      <c r="P160" s="62"/>
      <c r="Q160" s="62"/>
      <c r="R160" s="62"/>
      <c r="S160" s="62"/>
      <c r="T160" s="62"/>
      <c r="U160" s="62"/>
      <c r="V160" s="62"/>
      <c r="W160" s="62"/>
      <c r="X160" s="62"/>
      <c r="Y160" s="43"/>
      <c r="Z160" s="43"/>
      <c r="AA160" s="43"/>
      <c r="AB160" s="43"/>
      <c r="AC160" s="43"/>
      <c r="AD160" s="43"/>
    </row>
    <row r="161">
      <c r="A161" s="43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4"/>
      <c r="P161" s="62"/>
      <c r="Q161" s="62"/>
      <c r="R161" s="62"/>
      <c r="S161" s="62"/>
      <c r="T161" s="62"/>
      <c r="U161" s="62"/>
      <c r="V161" s="62"/>
      <c r="W161" s="62"/>
      <c r="X161" s="62"/>
      <c r="Y161" s="43"/>
      <c r="Z161" s="43"/>
      <c r="AA161" s="43"/>
      <c r="AB161" s="43"/>
      <c r="AC161" s="43"/>
      <c r="AD161" s="43"/>
    </row>
    <row r="162">
      <c r="A162" s="43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4"/>
      <c r="P162" s="62"/>
      <c r="Q162" s="62"/>
      <c r="R162" s="62"/>
      <c r="S162" s="62"/>
      <c r="T162" s="62"/>
      <c r="U162" s="62"/>
      <c r="V162" s="62"/>
      <c r="W162" s="62"/>
      <c r="X162" s="62"/>
      <c r="Y162" s="43"/>
      <c r="Z162" s="43"/>
      <c r="AA162" s="43"/>
      <c r="AB162" s="43"/>
      <c r="AC162" s="43"/>
      <c r="AD162" s="43"/>
    </row>
    <row r="163">
      <c r="A163" s="43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4"/>
      <c r="P163" s="62"/>
      <c r="Q163" s="62"/>
      <c r="R163" s="62"/>
      <c r="S163" s="62"/>
      <c r="T163" s="62"/>
      <c r="U163" s="62"/>
      <c r="V163" s="62"/>
      <c r="W163" s="62"/>
      <c r="X163" s="62"/>
      <c r="Y163" s="43"/>
      <c r="Z163" s="43"/>
      <c r="AA163" s="43"/>
      <c r="AB163" s="43"/>
      <c r="AC163" s="43"/>
      <c r="AD163" s="43"/>
    </row>
    <row r="164">
      <c r="A164" s="43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4"/>
      <c r="P164" s="62"/>
      <c r="Q164" s="62"/>
      <c r="R164" s="62"/>
      <c r="S164" s="62"/>
      <c r="T164" s="62"/>
      <c r="U164" s="62"/>
      <c r="V164" s="62"/>
      <c r="W164" s="62"/>
      <c r="X164" s="62"/>
      <c r="Y164" s="43"/>
      <c r="Z164" s="43"/>
      <c r="AA164" s="43"/>
      <c r="AB164" s="43"/>
      <c r="AC164" s="43"/>
      <c r="AD164" s="43"/>
    </row>
    <row r="165">
      <c r="A165" s="43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4"/>
      <c r="P165" s="62"/>
      <c r="Q165" s="62"/>
      <c r="R165" s="62"/>
      <c r="S165" s="62"/>
      <c r="T165" s="62"/>
      <c r="U165" s="62"/>
      <c r="V165" s="62"/>
      <c r="W165" s="62"/>
      <c r="X165" s="62"/>
      <c r="Y165" s="43"/>
      <c r="Z165" s="43"/>
      <c r="AA165" s="43"/>
      <c r="AB165" s="43"/>
      <c r="AC165" s="43"/>
      <c r="AD165" s="43"/>
    </row>
    <row r="166">
      <c r="A166" s="43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4"/>
      <c r="P166" s="62"/>
      <c r="Q166" s="62"/>
      <c r="R166" s="62"/>
      <c r="S166" s="62"/>
      <c r="T166" s="62"/>
      <c r="U166" s="62"/>
      <c r="V166" s="62"/>
      <c r="W166" s="62"/>
      <c r="X166" s="62"/>
      <c r="Y166" s="43"/>
      <c r="Z166" s="43"/>
      <c r="AA166" s="43"/>
      <c r="AB166" s="43"/>
      <c r="AC166" s="43"/>
      <c r="AD166" s="43"/>
    </row>
    <row r="167">
      <c r="A167" s="43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4"/>
      <c r="P167" s="62"/>
      <c r="Q167" s="62"/>
      <c r="R167" s="62"/>
      <c r="S167" s="62"/>
      <c r="T167" s="62"/>
      <c r="U167" s="62"/>
      <c r="V167" s="62"/>
      <c r="W167" s="62"/>
      <c r="X167" s="62"/>
      <c r="Y167" s="43"/>
      <c r="Z167" s="43"/>
      <c r="AA167" s="43"/>
      <c r="AB167" s="43"/>
      <c r="AC167" s="43"/>
      <c r="AD167" s="43"/>
    </row>
    <row r="168">
      <c r="A168" s="43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4"/>
      <c r="P168" s="62"/>
      <c r="Q168" s="62"/>
      <c r="R168" s="62"/>
      <c r="S168" s="62"/>
      <c r="T168" s="62"/>
      <c r="U168" s="62"/>
      <c r="V168" s="62"/>
      <c r="W168" s="62"/>
      <c r="X168" s="62"/>
      <c r="Y168" s="43"/>
      <c r="Z168" s="43"/>
      <c r="AA168" s="43"/>
      <c r="AB168" s="43"/>
      <c r="AC168" s="43"/>
      <c r="AD168" s="43"/>
    </row>
    <row r="169">
      <c r="A169" s="43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4"/>
      <c r="P169" s="62"/>
      <c r="Q169" s="62"/>
      <c r="R169" s="62"/>
      <c r="S169" s="62"/>
      <c r="T169" s="62"/>
      <c r="U169" s="62"/>
      <c r="V169" s="62"/>
      <c r="W169" s="62"/>
      <c r="X169" s="62"/>
      <c r="Y169" s="43"/>
      <c r="Z169" s="43"/>
      <c r="AA169" s="43"/>
      <c r="AB169" s="43"/>
      <c r="AC169" s="43"/>
      <c r="AD169" s="43"/>
    </row>
    <row r="170">
      <c r="A170" s="43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4"/>
      <c r="P170" s="62"/>
      <c r="Q170" s="62"/>
      <c r="R170" s="62"/>
      <c r="S170" s="62"/>
      <c r="T170" s="62"/>
      <c r="U170" s="62"/>
      <c r="V170" s="62"/>
      <c r="W170" s="62"/>
      <c r="X170" s="62"/>
      <c r="Y170" s="43"/>
      <c r="Z170" s="43"/>
      <c r="AA170" s="43"/>
      <c r="AB170" s="43"/>
      <c r="AC170" s="43"/>
      <c r="AD170" s="43"/>
    </row>
    <row r="171">
      <c r="A171" s="43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4"/>
      <c r="P171" s="62"/>
      <c r="Q171" s="62"/>
      <c r="R171" s="62"/>
      <c r="S171" s="62"/>
      <c r="T171" s="62"/>
      <c r="U171" s="62"/>
      <c r="V171" s="62"/>
      <c r="W171" s="62"/>
      <c r="X171" s="62"/>
      <c r="Y171" s="43"/>
      <c r="Z171" s="43"/>
      <c r="AA171" s="43"/>
      <c r="AB171" s="43"/>
      <c r="AC171" s="43"/>
      <c r="AD171" s="43"/>
    </row>
    <row r="172">
      <c r="A172" s="43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4"/>
      <c r="P172" s="62"/>
      <c r="Q172" s="62"/>
      <c r="R172" s="62"/>
      <c r="S172" s="62"/>
      <c r="T172" s="62"/>
      <c r="U172" s="62"/>
      <c r="V172" s="62"/>
      <c r="W172" s="62"/>
      <c r="X172" s="62"/>
      <c r="Y172" s="43"/>
      <c r="Z172" s="43"/>
      <c r="AA172" s="43"/>
      <c r="AB172" s="43"/>
      <c r="AC172" s="43"/>
      <c r="AD172" s="43"/>
    </row>
    <row r="173">
      <c r="A173" s="43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4"/>
      <c r="P173" s="62"/>
      <c r="Q173" s="62"/>
      <c r="R173" s="62"/>
      <c r="S173" s="62"/>
      <c r="T173" s="62"/>
      <c r="U173" s="62"/>
      <c r="V173" s="62"/>
      <c r="W173" s="62"/>
      <c r="X173" s="62"/>
      <c r="Y173" s="43"/>
      <c r="Z173" s="43"/>
      <c r="AA173" s="43"/>
      <c r="AB173" s="43"/>
      <c r="AC173" s="43"/>
      <c r="AD173" s="43"/>
    </row>
    <row r="174">
      <c r="A174" s="43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4"/>
      <c r="P174" s="62"/>
      <c r="Q174" s="62"/>
      <c r="R174" s="62"/>
      <c r="S174" s="62"/>
      <c r="T174" s="62"/>
      <c r="U174" s="62"/>
      <c r="V174" s="62"/>
      <c r="W174" s="62"/>
      <c r="X174" s="62"/>
      <c r="Y174" s="43"/>
      <c r="Z174" s="43"/>
      <c r="AA174" s="43"/>
      <c r="AB174" s="43"/>
      <c r="AC174" s="43"/>
      <c r="AD174" s="43"/>
    </row>
    <row r="175">
      <c r="A175" s="43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4"/>
      <c r="P175" s="62"/>
      <c r="Q175" s="62"/>
      <c r="R175" s="62"/>
      <c r="S175" s="62"/>
      <c r="T175" s="62"/>
      <c r="U175" s="62"/>
      <c r="V175" s="62"/>
      <c r="W175" s="62"/>
      <c r="X175" s="62"/>
      <c r="Y175" s="43"/>
      <c r="Z175" s="43"/>
      <c r="AA175" s="43"/>
      <c r="AB175" s="43"/>
      <c r="AC175" s="43"/>
      <c r="AD175" s="43"/>
    </row>
    <row r="176">
      <c r="A176" s="43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4"/>
      <c r="P176" s="62"/>
      <c r="Q176" s="62"/>
      <c r="R176" s="62"/>
      <c r="S176" s="62"/>
      <c r="T176" s="62"/>
      <c r="U176" s="62"/>
      <c r="V176" s="62"/>
      <c r="W176" s="62"/>
      <c r="X176" s="62"/>
      <c r="Y176" s="43"/>
      <c r="Z176" s="43"/>
      <c r="AA176" s="43"/>
      <c r="AB176" s="43"/>
      <c r="AC176" s="43"/>
      <c r="AD176" s="43"/>
    </row>
    <row r="177">
      <c r="A177" s="43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4"/>
      <c r="P177" s="62"/>
      <c r="Q177" s="62"/>
      <c r="R177" s="62"/>
      <c r="S177" s="62"/>
      <c r="T177" s="62"/>
      <c r="U177" s="62"/>
      <c r="V177" s="62"/>
      <c r="W177" s="62"/>
      <c r="X177" s="62"/>
      <c r="Y177" s="43"/>
      <c r="Z177" s="43"/>
      <c r="AA177" s="43"/>
      <c r="AB177" s="43"/>
      <c r="AC177" s="43"/>
      <c r="AD177" s="43"/>
    </row>
    <row r="178">
      <c r="A178" s="43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4"/>
      <c r="P178" s="62"/>
      <c r="Q178" s="62"/>
      <c r="R178" s="62"/>
      <c r="S178" s="62"/>
      <c r="T178" s="62"/>
      <c r="U178" s="62"/>
      <c r="V178" s="62"/>
      <c r="W178" s="62"/>
      <c r="X178" s="62"/>
      <c r="Y178" s="43"/>
      <c r="Z178" s="43"/>
      <c r="AA178" s="43"/>
      <c r="AB178" s="43"/>
      <c r="AC178" s="43"/>
      <c r="AD178" s="43"/>
    </row>
    <row r="179">
      <c r="A179" s="43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4"/>
      <c r="P179" s="62"/>
      <c r="Q179" s="62"/>
      <c r="R179" s="62"/>
      <c r="S179" s="62"/>
      <c r="T179" s="62"/>
      <c r="U179" s="62"/>
      <c r="V179" s="62"/>
      <c r="W179" s="62"/>
      <c r="X179" s="62"/>
      <c r="Y179" s="43"/>
      <c r="Z179" s="43"/>
      <c r="AA179" s="43"/>
      <c r="AB179" s="43"/>
      <c r="AC179" s="43"/>
      <c r="AD179" s="43"/>
    </row>
    <row r="180">
      <c r="A180" s="43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4"/>
      <c r="P180" s="62"/>
      <c r="Q180" s="62"/>
      <c r="R180" s="62"/>
      <c r="S180" s="62"/>
      <c r="T180" s="62"/>
      <c r="U180" s="62"/>
      <c r="V180" s="62"/>
      <c r="W180" s="62"/>
      <c r="X180" s="62"/>
      <c r="Y180" s="43"/>
      <c r="Z180" s="43"/>
      <c r="AA180" s="43"/>
      <c r="AB180" s="43"/>
      <c r="AC180" s="43"/>
      <c r="AD180" s="43"/>
    </row>
    <row r="181">
      <c r="A181" s="43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4"/>
      <c r="P181" s="62"/>
      <c r="Q181" s="62"/>
      <c r="R181" s="62"/>
      <c r="S181" s="62"/>
      <c r="T181" s="62"/>
      <c r="U181" s="62"/>
      <c r="V181" s="62"/>
      <c r="W181" s="62"/>
      <c r="X181" s="62"/>
      <c r="Y181" s="43"/>
      <c r="Z181" s="43"/>
      <c r="AA181" s="43"/>
      <c r="AB181" s="43"/>
      <c r="AC181" s="43"/>
      <c r="AD181" s="43"/>
    </row>
    <row r="182">
      <c r="A182" s="43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4"/>
      <c r="P182" s="62"/>
      <c r="Q182" s="62"/>
      <c r="R182" s="62"/>
      <c r="S182" s="62"/>
      <c r="T182" s="62"/>
      <c r="U182" s="62"/>
      <c r="V182" s="62"/>
      <c r="W182" s="62"/>
      <c r="X182" s="62"/>
      <c r="Y182" s="43"/>
      <c r="Z182" s="43"/>
      <c r="AA182" s="43"/>
      <c r="AB182" s="43"/>
      <c r="AC182" s="43"/>
      <c r="AD182" s="43"/>
    </row>
    <row r="183">
      <c r="A183" s="43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4"/>
      <c r="P183" s="62"/>
      <c r="Q183" s="62"/>
      <c r="R183" s="62"/>
      <c r="S183" s="62"/>
      <c r="T183" s="62"/>
      <c r="U183" s="62"/>
      <c r="V183" s="62"/>
      <c r="W183" s="62"/>
      <c r="X183" s="62"/>
      <c r="Y183" s="43"/>
      <c r="Z183" s="43"/>
      <c r="AA183" s="43"/>
      <c r="AB183" s="43"/>
      <c r="AC183" s="43"/>
      <c r="AD183" s="43"/>
    </row>
    <row r="184">
      <c r="A184" s="43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4"/>
      <c r="P184" s="62"/>
      <c r="Q184" s="62"/>
      <c r="R184" s="62"/>
      <c r="S184" s="62"/>
      <c r="T184" s="62"/>
      <c r="U184" s="62"/>
      <c r="V184" s="62"/>
      <c r="W184" s="62"/>
      <c r="X184" s="62"/>
      <c r="Y184" s="43"/>
      <c r="Z184" s="43"/>
      <c r="AA184" s="43"/>
      <c r="AB184" s="43"/>
      <c r="AC184" s="43"/>
      <c r="AD184" s="43"/>
    </row>
    <row r="185">
      <c r="A185" s="43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4"/>
      <c r="P185" s="62"/>
      <c r="Q185" s="62"/>
      <c r="R185" s="62"/>
      <c r="S185" s="62"/>
      <c r="T185" s="62"/>
      <c r="U185" s="62"/>
      <c r="V185" s="62"/>
      <c r="W185" s="62"/>
      <c r="X185" s="62"/>
      <c r="Y185" s="43"/>
      <c r="Z185" s="43"/>
      <c r="AA185" s="43"/>
      <c r="AB185" s="43"/>
      <c r="AC185" s="43"/>
      <c r="AD185" s="43"/>
    </row>
    <row r="186">
      <c r="A186" s="43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4"/>
      <c r="P186" s="62"/>
      <c r="Q186" s="62"/>
      <c r="R186" s="62"/>
      <c r="S186" s="62"/>
      <c r="T186" s="62"/>
      <c r="U186" s="62"/>
      <c r="V186" s="62"/>
      <c r="W186" s="62"/>
      <c r="X186" s="62"/>
      <c r="Y186" s="43"/>
      <c r="Z186" s="43"/>
      <c r="AA186" s="43"/>
      <c r="AB186" s="43"/>
      <c r="AC186" s="43"/>
      <c r="AD186" s="43"/>
    </row>
    <row r="187">
      <c r="A187" s="43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4"/>
      <c r="P187" s="62"/>
      <c r="Q187" s="62"/>
      <c r="R187" s="62"/>
      <c r="S187" s="62"/>
      <c r="T187" s="62"/>
      <c r="U187" s="62"/>
      <c r="V187" s="62"/>
      <c r="W187" s="62"/>
      <c r="X187" s="62"/>
      <c r="Y187" s="43"/>
      <c r="Z187" s="43"/>
      <c r="AA187" s="43"/>
      <c r="AB187" s="43"/>
      <c r="AC187" s="43"/>
      <c r="AD187" s="43"/>
    </row>
    <row r="188">
      <c r="A188" s="43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4"/>
      <c r="P188" s="62"/>
      <c r="Q188" s="62"/>
      <c r="R188" s="62"/>
      <c r="S188" s="62"/>
      <c r="T188" s="62"/>
      <c r="U188" s="62"/>
      <c r="V188" s="62"/>
      <c r="W188" s="62"/>
      <c r="X188" s="62"/>
      <c r="Y188" s="43"/>
      <c r="Z188" s="43"/>
      <c r="AA188" s="43"/>
      <c r="AB188" s="43"/>
      <c r="AC188" s="43"/>
      <c r="AD188" s="43"/>
    </row>
    <row r="189">
      <c r="A189" s="43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4"/>
      <c r="P189" s="62"/>
      <c r="Q189" s="62"/>
      <c r="R189" s="62"/>
      <c r="S189" s="62"/>
      <c r="T189" s="62"/>
      <c r="U189" s="62"/>
      <c r="V189" s="62"/>
      <c r="W189" s="62"/>
      <c r="X189" s="62"/>
      <c r="Y189" s="43"/>
      <c r="Z189" s="43"/>
      <c r="AA189" s="43"/>
      <c r="AB189" s="43"/>
      <c r="AC189" s="43"/>
      <c r="AD189" s="43"/>
    </row>
    <row r="190">
      <c r="A190" s="43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4"/>
      <c r="P190" s="62"/>
      <c r="Q190" s="62"/>
      <c r="R190" s="62"/>
      <c r="S190" s="62"/>
      <c r="T190" s="62"/>
      <c r="U190" s="62"/>
      <c r="V190" s="62"/>
      <c r="W190" s="62"/>
      <c r="X190" s="62"/>
      <c r="Y190" s="43"/>
      <c r="Z190" s="43"/>
      <c r="AA190" s="43"/>
      <c r="AB190" s="43"/>
      <c r="AC190" s="43"/>
      <c r="AD190" s="43"/>
    </row>
    <row r="191">
      <c r="A191" s="43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4"/>
      <c r="P191" s="62"/>
      <c r="Q191" s="62"/>
      <c r="R191" s="62"/>
      <c r="S191" s="62"/>
      <c r="T191" s="62"/>
      <c r="U191" s="62"/>
      <c r="V191" s="62"/>
      <c r="W191" s="62"/>
      <c r="X191" s="62"/>
      <c r="Y191" s="43"/>
      <c r="Z191" s="43"/>
      <c r="AA191" s="43"/>
      <c r="AB191" s="43"/>
      <c r="AC191" s="43"/>
      <c r="AD191" s="43"/>
    </row>
    <row r="192">
      <c r="A192" s="43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4"/>
      <c r="P192" s="62"/>
      <c r="Q192" s="62"/>
      <c r="R192" s="62"/>
      <c r="S192" s="62"/>
      <c r="T192" s="62"/>
      <c r="U192" s="62"/>
      <c r="V192" s="62"/>
      <c r="W192" s="62"/>
      <c r="X192" s="62"/>
      <c r="Y192" s="43"/>
      <c r="Z192" s="43"/>
      <c r="AA192" s="43"/>
      <c r="AB192" s="43"/>
      <c r="AC192" s="43"/>
      <c r="AD192" s="43"/>
    </row>
    <row r="193">
      <c r="A193" s="43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4"/>
      <c r="P193" s="62"/>
      <c r="Q193" s="62"/>
      <c r="R193" s="62"/>
      <c r="S193" s="62"/>
      <c r="T193" s="62"/>
      <c r="U193" s="62"/>
      <c r="V193" s="62"/>
      <c r="W193" s="62"/>
      <c r="X193" s="62"/>
      <c r="Y193" s="43"/>
      <c r="Z193" s="43"/>
      <c r="AA193" s="43"/>
      <c r="AB193" s="43"/>
      <c r="AC193" s="43"/>
      <c r="AD193" s="43"/>
    </row>
    <row r="194">
      <c r="A194" s="43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4"/>
      <c r="P194" s="62"/>
      <c r="Q194" s="62"/>
      <c r="R194" s="62"/>
      <c r="S194" s="62"/>
      <c r="T194" s="62"/>
      <c r="U194" s="62"/>
      <c r="V194" s="62"/>
      <c r="W194" s="62"/>
      <c r="X194" s="62"/>
      <c r="Y194" s="43"/>
      <c r="Z194" s="43"/>
      <c r="AA194" s="43"/>
      <c r="AB194" s="43"/>
      <c r="AC194" s="43"/>
      <c r="AD194" s="43"/>
    </row>
    <row r="195">
      <c r="A195" s="43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4"/>
      <c r="P195" s="62"/>
      <c r="Q195" s="62"/>
      <c r="R195" s="62"/>
      <c r="S195" s="62"/>
      <c r="T195" s="62"/>
      <c r="U195" s="62"/>
      <c r="V195" s="62"/>
      <c r="W195" s="62"/>
      <c r="X195" s="62"/>
      <c r="Y195" s="43"/>
      <c r="Z195" s="43"/>
      <c r="AA195" s="43"/>
      <c r="AB195" s="43"/>
      <c r="AC195" s="43"/>
      <c r="AD195" s="43"/>
    </row>
    <row r="196">
      <c r="A196" s="43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4"/>
      <c r="P196" s="62"/>
      <c r="Q196" s="62"/>
      <c r="R196" s="62"/>
      <c r="S196" s="62"/>
      <c r="T196" s="62"/>
      <c r="U196" s="62"/>
      <c r="V196" s="62"/>
      <c r="W196" s="62"/>
      <c r="X196" s="62"/>
      <c r="Y196" s="43"/>
      <c r="Z196" s="43"/>
      <c r="AA196" s="43"/>
      <c r="AB196" s="43"/>
      <c r="AC196" s="43"/>
      <c r="AD196" s="43"/>
    </row>
    <row r="197">
      <c r="A197" s="43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4"/>
      <c r="P197" s="62"/>
      <c r="Q197" s="62"/>
      <c r="R197" s="62"/>
      <c r="S197" s="62"/>
      <c r="T197" s="62"/>
      <c r="U197" s="62"/>
      <c r="V197" s="62"/>
      <c r="W197" s="62"/>
      <c r="X197" s="62"/>
      <c r="Y197" s="43"/>
      <c r="Z197" s="43"/>
      <c r="AA197" s="43"/>
      <c r="AB197" s="43"/>
      <c r="AC197" s="43"/>
      <c r="AD197" s="43"/>
    </row>
    <row r="198">
      <c r="A198" s="43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4"/>
      <c r="P198" s="62"/>
      <c r="Q198" s="62"/>
      <c r="R198" s="62"/>
      <c r="S198" s="62"/>
      <c r="T198" s="62"/>
      <c r="U198" s="62"/>
      <c r="V198" s="62"/>
      <c r="W198" s="62"/>
      <c r="X198" s="62"/>
      <c r="Y198" s="43"/>
      <c r="Z198" s="43"/>
      <c r="AA198" s="43"/>
      <c r="AB198" s="43"/>
      <c r="AC198" s="43"/>
      <c r="AD198" s="43"/>
    </row>
    <row r="199">
      <c r="A199" s="43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4"/>
      <c r="P199" s="62"/>
      <c r="Q199" s="62"/>
      <c r="R199" s="62"/>
      <c r="S199" s="62"/>
      <c r="T199" s="62"/>
      <c r="U199" s="62"/>
      <c r="V199" s="62"/>
      <c r="W199" s="62"/>
      <c r="X199" s="62"/>
      <c r="Y199" s="43"/>
      <c r="Z199" s="43"/>
      <c r="AA199" s="43"/>
      <c r="AB199" s="43"/>
      <c r="AC199" s="43"/>
      <c r="AD199" s="43"/>
    </row>
    <row r="200">
      <c r="A200" s="43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4"/>
      <c r="P200" s="62"/>
      <c r="Q200" s="62"/>
      <c r="R200" s="62"/>
      <c r="S200" s="62"/>
      <c r="T200" s="62"/>
      <c r="U200" s="62"/>
      <c r="V200" s="62"/>
      <c r="W200" s="62"/>
      <c r="X200" s="62"/>
      <c r="Y200" s="43"/>
      <c r="Z200" s="43"/>
      <c r="AA200" s="43"/>
      <c r="AB200" s="43"/>
      <c r="AC200" s="43"/>
      <c r="AD200" s="43"/>
    </row>
    <row r="201">
      <c r="A201" s="43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4"/>
      <c r="P201" s="62"/>
      <c r="Q201" s="62"/>
      <c r="R201" s="62"/>
      <c r="S201" s="62"/>
      <c r="T201" s="62"/>
      <c r="U201" s="62"/>
      <c r="V201" s="62"/>
      <c r="W201" s="62"/>
      <c r="X201" s="62"/>
      <c r="Y201" s="43"/>
      <c r="Z201" s="43"/>
      <c r="AA201" s="43"/>
      <c r="AB201" s="43"/>
      <c r="AC201" s="43"/>
      <c r="AD201" s="43"/>
    </row>
    <row r="202">
      <c r="A202" s="43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4"/>
      <c r="P202" s="62"/>
      <c r="Q202" s="62"/>
      <c r="R202" s="62"/>
      <c r="S202" s="62"/>
      <c r="T202" s="62"/>
      <c r="U202" s="62"/>
      <c r="V202" s="62"/>
      <c r="W202" s="62"/>
      <c r="X202" s="62"/>
      <c r="Y202" s="43"/>
      <c r="Z202" s="43"/>
      <c r="AA202" s="43"/>
      <c r="AB202" s="43"/>
      <c r="AC202" s="43"/>
      <c r="AD202" s="43"/>
    </row>
    <row r="203">
      <c r="A203" s="43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4"/>
      <c r="P203" s="62"/>
      <c r="Q203" s="62"/>
      <c r="R203" s="62"/>
      <c r="S203" s="62"/>
      <c r="T203" s="62"/>
      <c r="U203" s="62"/>
      <c r="V203" s="62"/>
      <c r="W203" s="62"/>
      <c r="X203" s="62"/>
      <c r="Y203" s="43"/>
      <c r="Z203" s="43"/>
      <c r="AA203" s="43"/>
      <c r="AB203" s="43"/>
      <c r="AC203" s="43"/>
      <c r="AD203" s="43"/>
    </row>
    <row r="204">
      <c r="A204" s="43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4"/>
      <c r="P204" s="62"/>
      <c r="Q204" s="62"/>
      <c r="R204" s="62"/>
      <c r="S204" s="62"/>
      <c r="T204" s="62"/>
      <c r="U204" s="62"/>
      <c r="V204" s="62"/>
      <c r="W204" s="62"/>
      <c r="X204" s="62"/>
      <c r="Y204" s="43"/>
      <c r="Z204" s="43"/>
      <c r="AA204" s="43"/>
      <c r="AB204" s="43"/>
      <c r="AC204" s="43"/>
      <c r="AD204" s="43"/>
    </row>
    <row r="205">
      <c r="A205" s="43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4"/>
      <c r="P205" s="62"/>
      <c r="Q205" s="62"/>
      <c r="R205" s="62"/>
      <c r="S205" s="62"/>
      <c r="T205" s="62"/>
      <c r="U205" s="62"/>
      <c r="V205" s="62"/>
      <c r="W205" s="62"/>
      <c r="X205" s="62"/>
      <c r="Y205" s="43"/>
      <c r="Z205" s="43"/>
      <c r="AA205" s="43"/>
      <c r="AB205" s="43"/>
      <c r="AC205" s="43"/>
      <c r="AD205" s="43"/>
    </row>
    <row r="206">
      <c r="A206" s="43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4"/>
      <c r="P206" s="62"/>
      <c r="Q206" s="62"/>
      <c r="R206" s="62"/>
      <c r="S206" s="62"/>
      <c r="T206" s="62"/>
      <c r="U206" s="62"/>
      <c r="V206" s="62"/>
      <c r="W206" s="62"/>
      <c r="X206" s="62"/>
      <c r="Y206" s="43"/>
      <c r="Z206" s="43"/>
      <c r="AA206" s="43"/>
      <c r="AB206" s="43"/>
      <c r="AC206" s="43"/>
      <c r="AD206" s="43"/>
    </row>
    <row r="207">
      <c r="A207" s="43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4"/>
      <c r="P207" s="62"/>
      <c r="Q207" s="62"/>
      <c r="R207" s="62"/>
      <c r="S207" s="62"/>
      <c r="T207" s="62"/>
      <c r="U207" s="62"/>
      <c r="V207" s="62"/>
      <c r="W207" s="62"/>
      <c r="X207" s="62"/>
      <c r="Y207" s="43"/>
      <c r="Z207" s="43"/>
      <c r="AA207" s="43"/>
      <c r="AB207" s="43"/>
      <c r="AC207" s="43"/>
      <c r="AD207" s="43"/>
    </row>
    <row r="208">
      <c r="A208" s="43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4"/>
      <c r="P208" s="62"/>
      <c r="Q208" s="62"/>
      <c r="R208" s="62"/>
      <c r="S208" s="62"/>
      <c r="T208" s="62"/>
      <c r="U208" s="62"/>
      <c r="V208" s="62"/>
      <c r="W208" s="62"/>
      <c r="X208" s="62"/>
      <c r="Y208" s="43"/>
      <c r="Z208" s="43"/>
      <c r="AA208" s="43"/>
      <c r="AB208" s="43"/>
      <c r="AC208" s="43"/>
      <c r="AD208" s="43"/>
    </row>
    <row r="209">
      <c r="A209" s="43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4"/>
      <c r="P209" s="62"/>
      <c r="Q209" s="62"/>
      <c r="R209" s="62"/>
      <c r="S209" s="62"/>
      <c r="T209" s="62"/>
      <c r="U209" s="62"/>
      <c r="V209" s="62"/>
      <c r="W209" s="62"/>
      <c r="X209" s="62"/>
      <c r="Y209" s="43"/>
      <c r="Z209" s="43"/>
      <c r="AA209" s="43"/>
      <c r="AB209" s="43"/>
      <c r="AC209" s="43"/>
      <c r="AD209" s="43"/>
    </row>
    <row r="210">
      <c r="A210" s="43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4"/>
      <c r="P210" s="62"/>
      <c r="Q210" s="62"/>
      <c r="R210" s="62"/>
      <c r="S210" s="62"/>
      <c r="T210" s="62"/>
      <c r="U210" s="62"/>
      <c r="V210" s="62"/>
      <c r="W210" s="62"/>
      <c r="X210" s="62"/>
      <c r="Y210" s="43"/>
      <c r="Z210" s="43"/>
      <c r="AA210" s="43"/>
      <c r="AB210" s="43"/>
      <c r="AC210" s="43"/>
      <c r="AD210" s="43"/>
    </row>
    <row r="211">
      <c r="A211" s="43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4"/>
      <c r="P211" s="62"/>
      <c r="Q211" s="62"/>
      <c r="R211" s="62"/>
      <c r="S211" s="62"/>
      <c r="T211" s="62"/>
      <c r="U211" s="62"/>
      <c r="V211" s="62"/>
      <c r="W211" s="62"/>
      <c r="X211" s="62"/>
      <c r="Y211" s="43"/>
      <c r="Z211" s="43"/>
      <c r="AA211" s="43"/>
      <c r="AB211" s="43"/>
      <c r="AC211" s="43"/>
      <c r="AD211" s="43"/>
    </row>
    <row r="212">
      <c r="A212" s="43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4"/>
      <c r="P212" s="62"/>
      <c r="Q212" s="62"/>
      <c r="R212" s="62"/>
      <c r="S212" s="62"/>
      <c r="T212" s="62"/>
      <c r="U212" s="62"/>
      <c r="V212" s="62"/>
      <c r="W212" s="62"/>
      <c r="X212" s="62"/>
      <c r="Y212" s="43"/>
      <c r="Z212" s="43"/>
      <c r="AA212" s="43"/>
      <c r="AB212" s="43"/>
      <c r="AC212" s="43"/>
      <c r="AD212" s="43"/>
    </row>
    <row r="213">
      <c r="A213" s="43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4"/>
      <c r="P213" s="62"/>
      <c r="Q213" s="62"/>
      <c r="R213" s="62"/>
      <c r="S213" s="62"/>
      <c r="T213" s="62"/>
      <c r="U213" s="62"/>
      <c r="V213" s="62"/>
      <c r="W213" s="62"/>
      <c r="X213" s="62"/>
      <c r="Y213" s="43"/>
      <c r="Z213" s="43"/>
      <c r="AA213" s="43"/>
      <c r="AB213" s="43"/>
      <c r="AC213" s="43"/>
      <c r="AD213" s="43"/>
    </row>
    <row r="214">
      <c r="A214" s="43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4"/>
      <c r="P214" s="62"/>
      <c r="Q214" s="62"/>
      <c r="R214" s="62"/>
      <c r="S214" s="62"/>
      <c r="T214" s="62"/>
      <c r="U214" s="62"/>
      <c r="V214" s="62"/>
      <c r="W214" s="62"/>
      <c r="X214" s="62"/>
      <c r="Y214" s="43"/>
      <c r="Z214" s="43"/>
      <c r="AA214" s="43"/>
      <c r="AB214" s="43"/>
      <c r="AC214" s="43"/>
      <c r="AD214" s="43"/>
    </row>
    <row r="215">
      <c r="A215" s="43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4"/>
      <c r="P215" s="62"/>
      <c r="Q215" s="62"/>
      <c r="R215" s="62"/>
      <c r="S215" s="62"/>
      <c r="T215" s="62"/>
      <c r="U215" s="62"/>
      <c r="V215" s="62"/>
      <c r="W215" s="62"/>
      <c r="X215" s="62"/>
      <c r="Y215" s="43"/>
      <c r="Z215" s="43"/>
      <c r="AA215" s="43"/>
      <c r="AB215" s="43"/>
      <c r="AC215" s="43"/>
      <c r="AD215" s="43"/>
    </row>
    <row r="216">
      <c r="A216" s="43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4"/>
      <c r="P216" s="62"/>
      <c r="Q216" s="62"/>
      <c r="R216" s="62"/>
      <c r="S216" s="62"/>
      <c r="T216" s="62"/>
      <c r="U216" s="62"/>
      <c r="V216" s="62"/>
      <c r="W216" s="62"/>
      <c r="X216" s="62"/>
      <c r="Y216" s="43"/>
      <c r="Z216" s="43"/>
      <c r="AA216" s="43"/>
      <c r="AB216" s="43"/>
      <c r="AC216" s="43"/>
      <c r="AD216" s="43"/>
    </row>
    <row r="217">
      <c r="A217" s="43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4"/>
      <c r="P217" s="62"/>
      <c r="Q217" s="62"/>
      <c r="R217" s="62"/>
      <c r="S217" s="62"/>
      <c r="T217" s="62"/>
      <c r="U217" s="62"/>
      <c r="V217" s="62"/>
      <c r="W217" s="62"/>
      <c r="X217" s="62"/>
      <c r="Y217" s="43"/>
      <c r="Z217" s="43"/>
      <c r="AA217" s="43"/>
      <c r="AB217" s="43"/>
      <c r="AC217" s="43"/>
      <c r="AD217" s="43"/>
    </row>
    <row r="218">
      <c r="A218" s="43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4"/>
      <c r="P218" s="62"/>
      <c r="Q218" s="62"/>
      <c r="R218" s="62"/>
      <c r="S218" s="62"/>
      <c r="T218" s="62"/>
      <c r="U218" s="62"/>
      <c r="V218" s="62"/>
      <c r="W218" s="62"/>
      <c r="X218" s="62"/>
      <c r="Y218" s="43"/>
      <c r="Z218" s="43"/>
      <c r="AA218" s="43"/>
      <c r="AB218" s="43"/>
      <c r="AC218" s="43"/>
      <c r="AD218" s="43"/>
    </row>
    <row r="219">
      <c r="A219" s="43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4"/>
      <c r="P219" s="62"/>
      <c r="Q219" s="62"/>
      <c r="R219" s="62"/>
      <c r="S219" s="62"/>
      <c r="T219" s="62"/>
      <c r="U219" s="62"/>
      <c r="V219" s="62"/>
      <c r="W219" s="62"/>
      <c r="X219" s="62"/>
      <c r="Y219" s="43"/>
      <c r="Z219" s="43"/>
      <c r="AA219" s="43"/>
      <c r="AB219" s="43"/>
      <c r="AC219" s="43"/>
      <c r="AD219" s="43"/>
    </row>
    <row r="220">
      <c r="A220" s="43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4"/>
      <c r="P220" s="62"/>
      <c r="Q220" s="62"/>
      <c r="R220" s="62"/>
      <c r="S220" s="62"/>
      <c r="T220" s="62"/>
      <c r="U220" s="62"/>
      <c r="V220" s="62"/>
      <c r="W220" s="62"/>
      <c r="X220" s="62"/>
      <c r="Y220" s="43"/>
      <c r="Z220" s="43"/>
      <c r="AA220" s="43"/>
      <c r="AB220" s="43"/>
      <c r="AC220" s="43"/>
      <c r="AD220" s="43"/>
    </row>
    <row r="221">
      <c r="A221" s="43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4"/>
      <c r="P221" s="62"/>
      <c r="Q221" s="62"/>
      <c r="R221" s="62"/>
      <c r="S221" s="62"/>
      <c r="T221" s="62"/>
      <c r="U221" s="62"/>
      <c r="V221" s="62"/>
      <c r="W221" s="62"/>
      <c r="X221" s="62"/>
      <c r="Y221" s="43"/>
      <c r="Z221" s="43"/>
      <c r="AA221" s="43"/>
      <c r="AB221" s="43"/>
      <c r="AC221" s="43"/>
      <c r="AD221" s="43"/>
    </row>
    <row r="222">
      <c r="A222" s="43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4"/>
      <c r="P222" s="62"/>
      <c r="Q222" s="62"/>
      <c r="R222" s="62"/>
      <c r="S222" s="62"/>
      <c r="T222" s="62"/>
      <c r="U222" s="62"/>
      <c r="V222" s="62"/>
      <c r="W222" s="62"/>
      <c r="X222" s="62"/>
      <c r="Y222" s="43"/>
      <c r="Z222" s="43"/>
      <c r="AA222" s="43"/>
      <c r="AB222" s="43"/>
      <c r="AC222" s="43"/>
      <c r="AD222" s="43"/>
    </row>
    <row r="223">
      <c r="A223" s="43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4"/>
      <c r="P223" s="62"/>
      <c r="Q223" s="62"/>
      <c r="R223" s="62"/>
      <c r="S223" s="62"/>
      <c r="T223" s="62"/>
      <c r="U223" s="62"/>
      <c r="V223" s="62"/>
      <c r="W223" s="62"/>
      <c r="X223" s="62"/>
      <c r="Y223" s="43"/>
      <c r="Z223" s="43"/>
      <c r="AA223" s="43"/>
      <c r="AB223" s="43"/>
      <c r="AC223" s="43"/>
      <c r="AD223" s="43"/>
    </row>
    <row r="224">
      <c r="A224" s="43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4"/>
      <c r="P224" s="62"/>
      <c r="Q224" s="62"/>
      <c r="R224" s="62"/>
      <c r="S224" s="62"/>
      <c r="T224" s="62"/>
      <c r="U224" s="62"/>
      <c r="V224" s="62"/>
      <c r="W224" s="62"/>
      <c r="X224" s="62"/>
      <c r="Y224" s="43"/>
      <c r="Z224" s="43"/>
      <c r="AA224" s="43"/>
      <c r="AB224" s="43"/>
      <c r="AC224" s="43"/>
      <c r="AD224" s="43"/>
    </row>
    <row r="225">
      <c r="A225" s="43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4"/>
      <c r="P225" s="62"/>
      <c r="Q225" s="62"/>
      <c r="R225" s="62"/>
      <c r="S225" s="62"/>
      <c r="T225" s="62"/>
      <c r="U225" s="62"/>
      <c r="V225" s="62"/>
      <c r="W225" s="62"/>
      <c r="X225" s="62"/>
      <c r="Y225" s="43"/>
      <c r="Z225" s="43"/>
      <c r="AA225" s="43"/>
      <c r="AB225" s="43"/>
      <c r="AC225" s="43"/>
      <c r="AD225" s="43"/>
    </row>
    <row r="226">
      <c r="A226" s="43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4"/>
      <c r="P226" s="62"/>
      <c r="Q226" s="62"/>
      <c r="R226" s="62"/>
      <c r="S226" s="62"/>
      <c r="T226" s="62"/>
      <c r="U226" s="62"/>
      <c r="V226" s="62"/>
      <c r="W226" s="62"/>
      <c r="X226" s="62"/>
      <c r="Y226" s="43"/>
      <c r="Z226" s="43"/>
      <c r="AA226" s="43"/>
      <c r="AB226" s="43"/>
      <c r="AC226" s="43"/>
      <c r="AD226" s="43"/>
    </row>
    <row r="227">
      <c r="A227" s="43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4"/>
      <c r="P227" s="62"/>
      <c r="Q227" s="62"/>
      <c r="R227" s="62"/>
      <c r="S227" s="62"/>
      <c r="T227" s="62"/>
      <c r="U227" s="62"/>
      <c r="V227" s="62"/>
      <c r="W227" s="62"/>
      <c r="X227" s="62"/>
      <c r="Y227" s="43"/>
      <c r="Z227" s="43"/>
      <c r="AA227" s="43"/>
      <c r="AB227" s="43"/>
      <c r="AC227" s="43"/>
      <c r="AD227" s="43"/>
    </row>
    <row r="228">
      <c r="A228" s="43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4"/>
      <c r="P228" s="62"/>
      <c r="Q228" s="62"/>
      <c r="R228" s="62"/>
      <c r="S228" s="62"/>
      <c r="T228" s="62"/>
      <c r="U228" s="62"/>
      <c r="V228" s="62"/>
      <c r="W228" s="62"/>
      <c r="X228" s="62"/>
      <c r="Y228" s="43"/>
      <c r="Z228" s="43"/>
      <c r="AA228" s="43"/>
      <c r="AB228" s="43"/>
      <c r="AC228" s="43"/>
      <c r="AD228" s="43"/>
    </row>
    <row r="229">
      <c r="A229" s="43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4"/>
      <c r="P229" s="62"/>
      <c r="Q229" s="62"/>
      <c r="R229" s="62"/>
      <c r="S229" s="62"/>
      <c r="T229" s="62"/>
      <c r="U229" s="62"/>
      <c r="V229" s="62"/>
      <c r="W229" s="62"/>
      <c r="X229" s="62"/>
      <c r="Y229" s="43"/>
      <c r="Z229" s="43"/>
      <c r="AA229" s="43"/>
      <c r="AB229" s="43"/>
      <c r="AC229" s="43"/>
      <c r="AD229" s="43"/>
    </row>
    <row r="230">
      <c r="A230" s="43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4"/>
      <c r="P230" s="62"/>
      <c r="Q230" s="62"/>
      <c r="R230" s="62"/>
      <c r="S230" s="62"/>
      <c r="T230" s="62"/>
      <c r="U230" s="62"/>
      <c r="V230" s="62"/>
      <c r="W230" s="62"/>
      <c r="X230" s="62"/>
      <c r="Y230" s="43"/>
      <c r="Z230" s="43"/>
      <c r="AA230" s="43"/>
      <c r="AB230" s="43"/>
      <c r="AC230" s="43"/>
      <c r="AD230" s="43"/>
    </row>
    <row r="231">
      <c r="A231" s="43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4"/>
      <c r="P231" s="62"/>
      <c r="Q231" s="62"/>
      <c r="R231" s="62"/>
      <c r="S231" s="62"/>
      <c r="T231" s="62"/>
      <c r="U231" s="62"/>
      <c r="V231" s="62"/>
      <c r="W231" s="62"/>
      <c r="X231" s="62"/>
      <c r="Y231" s="43"/>
      <c r="Z231" s="43"/>
      <c r="AA231" s="43"/>
      <c r="AB231" s="43"/>
      <c r="AC231" s="43"/>
      <c r="AD231" s="43"/>
    </row>
    <row r="232">
      <c r="A232" s="43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4"/>
      <c r="P232" s="62"/>
      <c r="Q232" s="62"/>
      <c r="R232" s="62"/>
      <c r="S232" s="62"/>
      <c r="T232" s="62"/>
      <c r="U232" s="62"/>
      <c r="V232" s="62"/>
      <c r="W232" s="62"/>
      <c r="X232" s="62"/>
      <c r="Y232" s="43"/>
      <c r="Z232" s="43"/>
      <c r="AA232" s="43"/>
      <c r="AB232" s="43"/>
      <c r="AC232" s="43"/>
      <c r="AD232" s="43"/>
    </row>
    <row r="233">
      <c r="A233" s="43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4"/>
      <c r="P233" s="62"/>
      <c r="Q233" s="62"/>
      <c r="R233" s="62"/>
      <c r="S233" s="62"/>
      <c r="T233" s="62"/>
      <c r="U233" s="62"/>
      <c r="V233" s="62"/>
      <c r="W233" s="62"/>
      <c r="X233" s="62"/>
      <c r="Y233" s="43"/>
      <c r="Z233" s="43"/>
      <c r="AA233" s="43"/>
      <c r="AB233" s="43"/>
      <c r="AC233" s="43"/>
      <c r="AD233" s="43"/>
    </row>
    <row r="234">
      <c r="A234" s="43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4"/>
      <c r="P234" s="62"/>
      <c r="Q234" s="62"/>
      <c r="R234" s="62"/>
      <c r="S234" s="62"/>
      <c r="T234" s="62"/>
      <c r="U234" s="62"/>
      <c r="V234" s="62"/>
      <c r="W234" s="62"/>
      <c r="X234" s="62"/>
      <c r="Y234" s="43"/>
      <c r="Z234" s="43"/>
      <c r="AA234" s="43"/>
      <c r="AB234" s="43"/>
      <c r="AC234" s="43"/>
      <c r="AD234" s="43"/>
    </row>
    <row r="235">
      <c r="A235" s="43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4"/>
      <c r="P235" s="62"/>
      <c r="Q235" s="62"/>
      <c r="R235" s="62"/>
      <c r="S235" s="62"/>
      <c r="T235" s="62"/>
      <c r="U235" s="62"/>
      <c r="V235" s="62"/>
      <c r="W235" s="62"/>
      <c r="X235" s="62"/>
      <c r="Y235" s="43"/>
      <c r="Z235" s="43"/>
      <c r="AA235" s="43"/>
      <c r="AB235" s="43"/>
      <c r="AC235" s="43"/>
      <c r="AD235" s="43"/>
    </row>
    <row r="236">
      <c r="A236" s="43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4"/>
      <c r="P236" s="62"/>
      <c r="Q236" s="62"/>
      <c r="R236" s="62"/>
      <c r="S236" s="62"/>
      <c r="T236" s="62"/>
      <c r="U236" s="62"/>
      <c r="V236" s="62"/>
      <c r="W236" s="62"/>
      <c r="X236" s="62"/>
      <c r="Y236" s="43"/>
      <c r="Z236" s="43"/>
      <c r="AA236" s="43"/>
      <c r="AB236" s="43"/>
      <c r="AC236" s="43"/>
      <c r="AD236" s="43"/>
    </row>
    <row r="237">
      <c r="A237" s="43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4"/>
      <c r="P237" s="62"/>
      <c r="Q237" s="62"/>
      <c r="R237" s="62"/>
      <c r="S237" s="62"/>
      <c r="T237" s="62"/>
      <c r="U237" s="62"/>
      <c r="V237" s="62"/>
      <c r="W237" s="62"/>
      <c r="X237" s="62"/>
      <c r="Y237" s="43"/>
      <c r="Z237" s="43"/>
      <c r="AA237" s="43"/>
      <c r="AB237" s="43"/>
      <c r="AC237" s="43"/>
      <c r="AD237" s="43"/>
    </row>
    <row r="238">
      <c r="A238" s="43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4"/>
      <c r="P238" s="62"/>
      <c r="Q238" s="62"/>
      <c r="R238" s="62"/>
      <c r="S238" s="62"/>
      <c r="T238" s="62"/>
      <c r="U238" s="62"/>
      <c r="V238" s="62"/>
      <c r="W238" s="62"/>
      <c r="X238" s="62"/>
      <c r="Y238" s="43"/>
      <c r="Z238" s="43"/>
      <c r="AA238" s="43"/>
      <c r="AB238" s="43"/>
      <c r="AC238" s="43"/>
      <c r="AD238" s="43"/>
    </row>
    <row r="239">
      <c r="A239" s="43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4"/>
      <c r="P239" s="62"/>
      <c r="Q239" s="62"/>
      <c r="R239" s="62"/>
      <c r="S239" s="62"/>
      <c r="T239" s="62"/>
      <c r="U239" s="62"/>
      <c r="V239" s="62"/>
      <c r="W239" s="62"/>
      <c r="X239" s="62"/>
      <c r="Y239" s="43"/>
      <c r="Z239" s="43"/>
      <c r="AA239" s="43"/>
      <c r="AB239" s="43"/>
      <c r="AC239" s="43"/>
      <c r="AD239" s="43"/>
    </row>
    <row r="240">
      <c r="A240" s="43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4"/>
      <c r="P240" s="62"/>
      <c r="Q240" s="62"/>
      <c r="R240" s="62"/>
      <c r="S240" s="62"/>
      <c r="T240" s="62"/>
      <c r="U240" s="62"/>
      <c r="V240" s="62"/>
      <c r="W240" s="62"/>
      <c r="X240" s="62"/>
      <c r="Y240" s="43"/>
      <c r="Z240" s="43"/>
      <c r="AA240" s="43"/>
      <c r="AB240" s="43"/>
      <c r="AC240" s="43"/>
      <c r="AD240" s="43"/>
    </row>
    <row r="241">
      <c r="A241" s="43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4"/>
      <c r="P241" s="62"/>
      <c r="Q241" s="62"/>
      <c r="R241" s="62"/>
      <c r="S241" s="62"/>
      <c r="T241" s="62"/>
      <c r="U241" s="62"/>
      <c r="V241" s="62"/>
      <c r="W241" s="62"/>
      <c r="X241" s="62"/>
      <c r="Y241" s="43"/>
      <c r="Z241" s="43"/>
      <c r="AA241" s="43"/>
      <c r="AB241" s="43"/>
      <c r="AC241" s="43"/>
      <c r="AD241" s="43"/>
    </row>
    <row r="242">
      <c r="A242" s="43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4"/>
      <c r="P242" s="62"/>
      <c r="Q242" s="62"/>
      <c r="R242" s="62"/>
      <c r="S242" s="62"/>
      <c r="T242" s="62"/>
      <c r="U242" s="62"/>
      <c r="V242" s="62"/>
      <c r="W242" s="62"/>
      <c r="X242" s="62"/>
      <c r="Y242" s="43"/>
      <c r="Z242" s="43"/>
      <c r="AA242" s="43"/>
      <c r="AB242" s="43"/>
      <c r="AC242" s="43"/>
      <c r="AD242" s="43"/>
    </row>
    <row r="243">
      <c r="A243" s="43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4"/>
      <c r="P243" s="62"/>
      <c r="Q243" s="62"/>
      <c r="R243" s="62"/>
      <c r="S243" s="62"/>
      <c r="T243" s="62"/>
      <c r="U243" s="62"/>
      <c r="V243" s="62"/>
      <c r="W243" s="62"/>
      <c r="X243" s="62"/>
      <c r="Y243" s="43"/>
      <c r="Z243" s="43"/>
      <c r="AA243" s="43"/>
      <c r="AB243" s="43"/>
      <c r="AC243" s="43"/>
      <c r="AD243" s="43"/>
    </row>
    <row r="244">
      <c r="A244" s="43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4"/>
      <c r="P244" s="62"/>
      <c r="Q244" s="62"/>
      <c r="R244" s="62"/>
      <c r="S244" s="62"/>
      <c r="T244" s="62"/>
      <c r="U244" s="62"/>
      <c r="V244" s="62"/>
      <c r="W244" s="62"/>
      <c r="X244" s="62"/>
      <c r="Y244" s="43"/>
      <c r="Z244" s="43"/>
      <c r="AA244" s="43"/>
      <c r="AB244" s="43"/>
      <c r="AC244" s="43"/>
      <c r="AD244" s="43"/>
    </row>
    <row r="245">
      <c r="A245" s="43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4"/>
      <c r="P245" s="62"/>
      <c r="Q245" s="62"/>
      <c r="R245" s="62"/>
      <c r="S245" s="62"/>
      <c r="T245" s="62"/>
      <c r="U245" s="62"/>
      <c r="V245" s="62"/>
      <c r="W245" s="62"/>
      <c r="X245" s="62"/>
      <c r="Y245" s="43"/>
      <c r="Z245" s="43"/>
      <c r="AA245" s="43"/>
      <c r="AB245" s="43"/>
      <c r="AC245" s="43"/>
      <c r="AD245" s="43"/>
    </row>
    <row r="246">
      <c r="A246" s="43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4"/>
      <c r="P246" s="62"/>
      <c r="Q246" s="62"/>
      <c r="R246" s="62"/>
      <c r="S246" s="62"/>
      <c r="T246" s="62"/>
      <c r="U246" s="62"/>
      <c r="V246" s="62"/>
      <c r="W246" s="62"/>
      <c r="X246" s="62"/>
      <c r="Y246" s="43"/>
      <c r="Z246" s="43"/>
      <c r="AA246" s="43"/>
      <c r="AB246" s="43"/>
      <c r="AC246" s="43"/>
      <c r="AD246" s="43"/>
    </row>
    <row r="247">
      <c r="A247" s="43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4"/>
      <c r="P247" s="62"/>
      <c r="Q247" s="62"/>
      <c r="R247" s="62"/>
      <c r="S247" s="62"/>
      <c r="T247" s="62"/>
      <c r="U247" s="62"/>
      <c r="V247" s="62"/>
      <c r="W247" s="62"/>
      <c r="X247" s="62"/>
      <c r="Y247" s="43"/>
      <c r="Z247" s="43"/>
      <c r="AA247" s="43"/>
      <c r="AB247" s="43"/>
      <c r="AC247" s="43"/>
      <c r="AD247" s="43"/>
    </row>
    <row r="248">
      <c r="A248" s="43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4"/>
      <c r="P248" s="62"/>
      <c r="Q248" s="62"/>
      <c r="R248" s="62"/>
      <c r="S248" s="62"/>
      <c r="T248" s="62"/>
      <c r="U248" s="62"/>
      <c r="V248" s="62"/>
      <c r="W248" s="62"/>
      <c r="X248" s="62"/>
      <c r="Y248" s="43"/>
      <c r="Z248" s="43"/>
      <c r="AA248" s="43"/>
      <c r="AB248" s="43"/>
      <c r="AC248" s="43"/>
      <c r="AD248" s="43"/>
    </row>
    <row r="249">
      <c r="A249" s="43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4"/>
      <c r="P249" s="62"/>
      <c r="Q249" s="62"/>
      <c r="R249" s="62"/>
      <c r="S249" s="62"/>
      <c r="T249" s="62"/>
      <c r="U249" s="62"/>
      <c r="V249" s="62"/>
      <c r="W249" s="62"/>
      <c r="X249" s="62"/>
      <c r="Y249" s="43"/>
      <c r="Z249" s="43"/>
      <c r="AA249" s="43"/>
      <c r="AB249" s="43"/>
      <c r="AC249" s="43"/>
      <c r="AD249" s="43"/>
    </row>
    <row r="250">
      <c r="A250" s="43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4"/>
      <c r="P250" s="62"/>
      <c r="Q250" s="62"/>
      <c r="R250" s="62"/>
      <c r="S250" s="62"/>
      <c r="T250" s="62"/>
      <c r="U250" s="62"/>
      <c r="V250" s="62"/>
      <c r="W250" s="62"/>
      <c r="X250" s="62"/>
      <c r="Y250" s="43"/>
      <c r="Z250" s="43"/>
      <c r="AA250" s="43"/>
      <c r="AB250" s="43"/>
      <c r="AC250" s="43"/>
      <c r="AD250" s="43"/>
    </row>
    <row r="251">
      <c r="A251" s="43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4"/>
      <c r="P251" s="62"/>
      <c r="Q251" s="62"/>
      <c r="R251" s="62"/>
      <c r="S251" s="62"/>
      <c r="T251" s="62"/>
      <c r="U251" s="62"/>
      <c r="V251" s="62"/>
      <c r="W251" s="62"/>
      <c r="X251" s="62"/>
      <c r="Y251" s="43"/>
      <c r="Z251" s="43"/>
      <c r="AA251" s="43"/>
      <c r="AB251" s="43"/>
      <c r="AC251" s="43"/>
      <c r="AD251" s="43"/>
    </row>
    <row r="252">
      <c r="A252" s="43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4"/>
      <c r="P252" s="62"/>
      <c r="Q252" s="62"/>
      <c r="R252" s="62"/>
      <c r="S252" s="62"/>
      <c r="T252" s="62"/>
      <c r="U252" s="62"/>
      <c r="V252" s="62"/>
      <c r="W252" s="62"/>
      <c r="X252" s="62"/>
      <c r="Y252" s="43"/>
      <c r="Z252" s="43"/>
      <c r="AA252" s="43"/>
      <c r="AB252" s="43"/>
      <c r="AC252" s="43"/>
      <c r="AD252" s="43"/>
    </row>
    <row r="253">
      <c r="A253" s="43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4"/>
      <c r="P253" s="62"/>
      <c r="Q253" s="62"/>
      <c r="R253" s="62"/>
      <c r="S253" s="62"/>
      <c r="T253" s="62"/>
      <c r="U253" s="62"/>
      <c r="V253" s="62"/>
      <c r="W253" s="62"/>
      <c r="X253" s="62"/>
      <c r="Y253" s="43"/>
      <c r="Z253" s="43"/>
      <c r="AA253" s="43"/>
      <c r="AB253" s="43"/>
      <c r="AC253" s="43"/>
      <c r="AD253" s="43"/>
    </row>
    <row r="254">
      <c r="A254" s="43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4"/>
      <c r="P254" s="62"/>
      <c r="Q254" s="62"/>
      <c r="R254" s="62"/>
      <c r="S254" s="62"/>
      <c r="T254" s="62"/>
      <c r="U254" s="62"/>
      <c r="V254" s="62"/>
      <c r="W254" s="62"/>
      <c r="X254" s="62"/>
      <c r="Y254" s="43"/>
      <c r="Z254" s="43"/>
      <c r="AA254" s="43"/>
      <c r="AB254" s="43"/>
      <c r="AC254" s="43"/>
      <c r="AD254" s="43"/>
    </row>
    <row r="255">
      <c r="A255" s="43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4"/>
      <c r="P255" s="62"/>
      <c r="Q255" s="62"/>
      <c r="R255" s="62"/>
      <c r="S255" s="62"/>
      <c r="T255" s="62"/>
      <c r="U255" s="62"/>
      <c r="V255" s="62"/>
      <c r="W255" s="62"/>
      <c r="X255" s="62"/>
      <c r="Y255" s="43"/>
      <c r="Z255" s="43"/>
      <c r="AA255" s="43"/>
      <c r="AB255" s="43"/>
      <c r="AC255" s="43"/>
      <c r="AD255" s="43"/>
    </row>
    <row r="256">
      <c r="A256" s="43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4"/>
      <c r="P256" s="62"/>
      <c r="Q256" s="62"/>
      <c r="R256" s="62"/>
      <c r="S256" s="62"/>
      <c r="T256" s="62"/>
      <c r="U256" s="62"/>
      <c r="V256" s="62"/>
      <c r="W256" s="62"/>
      <c r="X256" s="62"/>
      <c r="Y256" s="43"/>
      <c r="Z256" s="43"/>
      <c r="AA256" s="43"/>
      <c r="AB256" s="43"/>
      <c r="AC256" s="43"/>
      <c r="AD256" s="43"/>
    </row>
    <row r="257">
      <c r="A257" s="43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4"/>
      <c r="P257" s="62"/>
      <c r="Q257" s="62"/>
      <c r="R257" s="62"/>
      <c r="S257" s="62"/>
      <c r="T257" s="62"/>
      <c r="U257" s="62"/>
      <c r="V257" s="62"/>
      <c r="W257" s="62"/>
      <c r="X257" s="62"/>
      <c r="Y257" s="43"/>
      <c r="Z257" s="43"/>
      <c r="AA257" s="43"/>
      <c r="AB257" s="43"/>
      <c r="AC257" s="43"/>
      <c r="AD257" s="43"/>
    </row>
    <row r="258">
      <c r="A258" s="43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4"/>
      <c r="P258" s="62"/>
      <c r="Q258" s="62"/>
      <c r="R258" s="62"/>
      <c r="S258" s="62"/>
      <c r="T258" s="62"/>
      <c r="U258" s="62"/>
      <c r="V258" s="62"/>
      <c r="W258" s="62"/>
      <c r="X258" s="62"/>
      <c r="Y258" s="43"/>
      <c r="Z258" s="43"/>
      <c r="AA258" s="43"/>
      <c r="AB258" s="43"/>
      <c r="AC258" s="43"/>
      <c r="AD258" s="43"/>
    </row>
    <row r="259">
      <c r="A259" s="43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4"/>
      <c r="P259" s="62"/>
      <c r="Q259" s="62"/>
      <c r="R259" s="62"/>
      <c r="S259" s="62"/>
      <c r="T259" s="62"/>
      <c r="U259" s="62"/>
      <c r="V259" s="62"/>
      <c r="W259" s="62"/>
      <c r="X259" s="62"/>
      <c r="Y259" s="43"/>
      <c r="Z259" s="43"/>
      <c r="AA259" s="43"/>
      <c r="AB259" s="43"/>
      <c r="AC259" s="43"/>
      <c r="AD259" s="43"/>
    </row>
    <row r="260">
      <c r="A260" s="43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4"/>
      <c r="P260" s="62"/>
      <c r="Q260" s="62"/>
      <c r="R260" s="62"/>
      <c r="S260" s="62"/>
      <c r="T260" s="62"/>
      <c r="U260" s="62"/>
      <c r="V260" s="62"/>
      <c r="W260" s="62"/>
      <c r="X260" s="62"/>
      <c r="Y260" s="43"/>
      <c r="Z260" s="43"/>
      <c r="AA260" s="43"/>
      <c r="AB260" s="43"/>
      <c r="AC260" s="43"/>
      <c r="AD260" s="43"/>
    </row>
    <row r="261">
      <c r="A261" s="43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4"/>
      <c r="P261" s="62"/>
      <c r="Q261" s="62"/>
      <c r="R261" s="62"/>
      <c r="S261" s="62"/>
      <c r="T261" s="62"/>
      <c r="U261" s="62"/>
      <c r="V261" s="62"/>
      <c r="W261" s="62"/>
      <c r="X261" s="62"/>
      <c r="Y261" s="43"/>
      <c r="Z261" s="43"/>
      <c r="AA261" s="43"/>
      <c r="AB261" s="43"/>
      <c r="AC261" s="43"/>
      <c r="AD261" s="43"/>
    </row>
    <row r="262">
      <c r="A262" s="43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4"/>
      <c r="P262" s="62"/>
      <c r="Q262" s="62"/>
      <c r="R262" s="62"/>
      <c r="S262" s="62"/>
      <c r="T262" s="62"/>
      <c r="U262" s="62"/>
      <c r="V262" s="62"/>
      <c r="W262" s="62"/>
      <c r="X262" s="62"/>
      <c r="Y262" s="43"/>
      <c r="Z262" s="43"/>
      <c r="AA262" s="43"/>
      <c r="AB262" s="43"/>
      <c r="AC262" s="43"/>
      <c r="AD262" s="43"/>
    </row>
    <row r="263">
      <c r="A263" s="43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4"/>
      <c r="P263" s="62"/>
      <c r="Q263" s="62"/>
      <c r="R263" s="62"/>
      <c r="S263" s="62"/>
      <c r="T263" s="62"/>
      <c r="U263" s="62"/>
      <c r="V263" s="62"/>
      <c r="W263" s="62"/>
      <c r="X263" s="62"/>
      <c r="Y263" s="43"/>
      <c r="Z263" s="43"/>
      <c r="AA263" s="43"/>
      <c r="AB263" s="43"/>
      <c r="AC263" s="43"/>
      <c r="AD263" s="43"/>
    </row>
    <row r="264">
      <c r="A264" s="43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4"/>
      <c r="P264" s="62"/>
      <c r="Q264" s="62"/>
      <c r="R264" s="62"/>
      <c r="S264" s="62"/>
      <c r="T264" s="62"/>
      <c r="U264" s="62"/>
      <c r="V264" s="62"/>
      <c r="W264" s="62"/>
      <c r="X264" s="62"/>
      <c r="Y264" s="43"/>
      <c r="Z264" s="43"/>
      <c r="AA264" s="43"/>
      <c r="AB264" s="43"/>
      <c r="AC264" s="43"/>
      <c r="AD264" s="43"/>
    </row>
    <row r="265">
      <c r="A265" s="43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4"/>
      <c r="P265" s="62"/>
      <c r="Q265" s="62"/>
      <c r="R265" s="62"/>
      <c r="S265" s="62"/>
      <c r="T265" s="62"/>
      <c r="U265" s="62"/>
      <c r="V265" s="62"/>
      <c r="W265" s="62"/>
      <c r="X265" s="62"/>
      <c r="Y265" s="43"/>
      <c r="Z265" s="43"/>
      <c r="AA265" s="43"/>
      <c r="AB265" s="43"/>
      <c r="AC265" s="43"/>
      <c r="AD265" s="43"/>
    </row>
    <row r="266">
      <c r="A266" s="43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4"/>
      <c r="P266" s="62"/>
      <c r="Q266" s="62"/>
      <c r="R266" s="62"/>
      <c r="S266" s="62"/>
      <c r="T266" s="62"/>
      <c r="U266" s="62"/>
      <c r="V266" s="62"/>
      <c r="W266" s="62"/>
      <c r="X266" s="62"/>
      <c r="Y266" s="43"/>
      <c r="Z266" s="43"/>
      <c r="AA266" s="43"/>
      <c r="AB266" s="43"/>
      <c r="AC266" s="43"/>
      <c r="AD266" s="43"/>
    </row>
    <row r="267">
      <c r="A267" s="43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4"/>
      <c r="P267" s="62"/>
      <c r="Q267" s="62"/>
      <c r="R267" s="62"/>
      <c r="S267" s="62"/>
      <c r="T267" s="62"/>
      <c r="U267" s="62"/>
      <c r="V267" s="62"/>
      <c r="W267" s="62"/>
      <c r="X267" s="62"/>
      <c r="Y267" s="43"/>
      <c r="Z267" s="43"/>
      <c r="AA267" s="43"/>
      <c r="AB267" s="43"/>
      <c r="AC267" s="43"/>
      <c r="AD267" s="43"/>
    </row>
    <row r="268">
      <c r="A268" s="43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4"/>
      <c r="P268" s="62"/>
      <c r="Q268" s="62"/>
      <c r="R268" s="62"/>
      <c r="S268" s="62"/>
      <c r="T268" s="62"/>
      <c r="U268" s="62"/>
      <c r="V268" s="62"/>
      <c r="W268" s="62"/>
      <c r="X268" s="62"/>
      <c r="Y268" s="43"/>
      <c r="Z268" s="43"/>
      <c r="AA268" s="43"/>
      <c r="AB268" s="43"/>
      <c r="AC268" s="43"/>
      <c r="AD268" s="43"/>
    </row>
    <row r="269">
      <c r="A269" s="43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4"/>
      <c r="P269" s="62"/>
      <c r="Q269" s="62"/>
      <c r="R269" s="62"/>
      <c r="S269" s="62"/>
      <c r="T269" s="62"/>
      <c r="U269" s="62"/>
      <c r="V269" s="62"/>
      <c r="W269" s="62"/>
      <c r="X269" s="62"/>
      <c r="Y269" s="43"/>
      <c r="Z269" s="43"/>
      <c r="AA269" s="43"/>
      <c r="AB269" s="43"/>
      <c r="AC269" s="43"/>
      <c r="AD269" s="43"/>
    </row>
    <row r="270">
      <c r="A270" s="43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4"/>
      <c r="P270" s="62"/>
      <c r="Q270" s="62"/>
      <c r="R270" s="62"/>
      <c r="S270" s="62"/>
      <c r="T270" s="62"/>
      <c r="U270" s="62"/>
      <c r="V270" s="62"/>
      <c r="W270" s="62"/>
      <c r="X270" s="62"/>
      <c r="Y270" s="43"/>
      <c r="Z270" s="43"/>
      <c r="AA270" s="43"/>
      <c r="AB270" s="43"/>
      <c r="AC270" s="43"/>
      <c r="AD270" s="43"/>
    </row>
    <row r="271">
      <c r="A271" s="43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4"/>
      <c r="P271" s="62"/>
      <c r="Q271" s="62"/>
      <c r="R271" s="62"/>
      <c r="S271" s="62"/>
      <c r="T271" s="62"/>
      <c r="U271" s="62"/>
      <c r="V271" s="62"/>
      <c r="W271" s="62"/>
      <c r="X271" s="62"/>
      <c r="Y271" s="43"/>
      <c r="Z271" s="43"/>
      <c r="AA271" s="43"/>
      <c r="AB271" s="43"/>
      <c r="AC271" s="43"/>
      <c r="AD271" s="43"/>
    </row>
    <row r="272">
      <c r="A272" s="43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4"/>
      <c r="P272" s="62"/>
      <c r="Q272" s="62"/>
      <c r="R272" s="62"/>
      <c r="S272" s="62"/>
      <c r="T272" s="62"/>
      <c r="U272" s="62"/>
      <c r="V272" s="62"/>
      <c r="W272" s="62"/>
      <c r="X272" s="62"/>
      <c r="Y272" s="43"/>
      <c r="Z272" s="43"/>
      <c r="AA272" s="43"/>
      <c r="AB272" s="43"/>
      <c r="AC272" s="43"/>
      <c r="AD272" s="43"/>
    </row>
    <row r="273">
      <c r="A273" s="43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4"/>
      <c r="P273" s="62"/>
      <c r="Q273" s="62"/>
      <c r="R273" s="62"/>
      <c r="S273" s="62"/>
      <c r="T273" s="62"/>
      <c r="U273" s="62"/>
      <c r="V273" s="62"/>
      <c r="W273" s="62"/>
      <c r="X273" s="62"/>
      <c r="Y273" s="43"/>
      <c r="Z273" s="43"/>
      <c r="AA273" s="43"/>
      <c r="AB273" s="43"/>
      <c r="AC273" s="43"/>
      <c r="AD273" s="43"/>
    </row>
    <row r="274">
      <c r="A274" s="43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4"/>
      <c r="P274" s="62"/>
      <c r="Q274" s="62"/>
      <c r="R274" s="62"/>
      <c r="S274" s="62"/>
      <c r="T274" s="62"/>
      <c r="U274" s="62"/>
      <c r="V274" s="62"/>
      <c r="W274" s="62"/>
      <c r="X274" s="62"/>
      <c r="Y274" s="43"/>
      <c r="Z274" s="43"/>
      <c r="AA274" s="43"/>
      <c r="AB274" s="43"/>
      <c r="AC274" s="43"/>
      <c r="AD274" s="43"/>
    </row>
    <row r="275">
      <c r="A275" s="43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4"/>
      <c r="P275" s="62"/>
      <c r="Q275" s="62"/>
      <c r="R275" s="62"/>
      <c r="S275" s="62"/>
      <c r="T275" s="62"/>
      <c r="U275" s="62"/>
      <c r="V275" s="62"/>
      <c r="W275" s="62"/>
      <c r="X275" s="62"/>
      <c r="Y275" s="43"/>
      <c r="Z275" s="43"/>
      <c r="AA275" s="43"/>
      <c r="AB275" s="43"/>
      <c r="AC275" s="43"/>
      <c r="AD275" s="43"/>
    </row>
    <row r="276">
      <c r="A276" s="43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4"/>
      <c r="P276" s="62"/>
      <c r="Q276" s="62"/>
      <c r="R276" s="62"/>
      <c r="S276" s="62"/>
      <c r="T276" s="62"/>
      <c r="U276" s="62"/>
      <c r="V276" s="62"/>
      <c r="W276" s="62"/>
      <c r="X276" s="62"/>
      <c r="Y276" s="43"/>
      <c r="Z276" s="43"/>
      <c r="AA276" s="43"/>
      <c r="AB276" s="43"/>
      <c r="AC276" s="43"/>
      <c r="AD276" s="43"/>
    </row>
    <row r="277">
      <c r="A277" s="43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4"/>
      <c r="P277" s="62"/>
      <c r="Q277" s="62"/>
      <c r="R277" s="62"/>
      <c r="S277" s="62"/>
      <c r="T277" s="62"/>
      <c r="U277" s="62"/>
      <c r="V277" s="62"/>
      <c r="W277" s="62"/>
      <c r="X277" s="62"/>
      <c r="Y277" s="43"/>
      <c r="Z277" s="43"/>
      <c r="AA277" s="43"/>
      <c r="AB277" s="43"/>
      <c r="AC277" s="43"/>
      <c r="AD277" s="43"/>
    </row>
    <row r="278">
      <c r="A278" s="43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4"/>
      <c r="P278" s="62"/>
      <c r="Q278" s="62"/>
      <c r="R278" s="62"/>
      <c r="S278" s="62"/>
      <c r="T278" s="62"/>
      <c r="U278" s="62"/>
      <c r="V278" s="62"/>
      <c r="W278" s="62"/>
      <c r="X278" s="62"/>
      <c r="Y278" s="43"/>
      <c r="Z278" s="43"/>
      <c r="AA278" s="43"/>
      <c r="AB278" s="43"/>
      <c r="AC278" s="43"/>
      <c r="AD278" s="43"/>
    </row>
    <row r="279">
      <c r="A279" s="43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4"/>
      <c r="P279" s="62"/>
      <c r="Q279" s="62"/>
      <c r="R279" s="62"/>
      <c r="S279" s="62"/>
      <c r="T279" s="62"/>
      <c r="U279" s="62"/>
      <c r="V279" s="62"/>
      <c r="W279" s="62"/>
      <c r="X279" s="62"/>
      <c r="Y279" s="43"/>
      <c r="Z279" s="43"/>
      <c r="AA279" s="43"/>
      <c r="AB279" s="43"/>
      <c r="AC279" s="43"/>
      <c r="AD279" s="43"/>
    </row>
    <row r="280">
      <c r="A280" s="43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4"/>
      <c r="P280" s="62"/>
      <c r="Q280" s="62"/>
      <c r="R280" s="62"/>
      <c r="S280" s="62"/>
      <c r="T280" s="62"/>
      <c r="U280" s="62"/>
      <c r="V280" s="62"/>
      <c r="W280" s="62"/>
      <c r="X280" s="62"/>
      <c r="Y280" s="43"/>
      <c r="Z280" s="43"/>
      <c r="AA280" s="43"/>
      <c r="AB280" s="43"/>
      <c r="AC280" s="43"/>
      <c r="AD280" s="43"/>
    </row>
    <row r="281">
      <c r="A281" s="43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4"/>
      <c r="P281" s="62"/>
      <c r="Q281" s="62"/>
      <c r="R281" s="62"/>
      <c r="S281" s="62"/>
      <c r="T281" s="62"/>
      <c r="U281" s="62"/>
      <c r="V281" s="62"/>
      <c r="W281" s="62"/>
      <c r="X281" s="62"/>
      <c r="Y281" s="43"/>
      <c r="Z281" s="43"/>
      <c r="AA281" s="43"/>
      <c r="AB281" s="43"/>
      <c r="AC281" s="43"/>
      <c r="AD281" s="43"/>
    </row>
    <row r="282">
      <c r="A282" s="43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4"/>
      <c r="P282" s="62"/>
      <c r="Q282" s="62"/>
      <c r="R282" s="62"/>
      <c r="S282" s="62"/>
      <c r="T282" s="62"/>
      <c r="U282" s="62"/>
      <c r="V282" s="62"/>
      <c r="W282" s="62"/>
      <c r="X282" s="62"/>
      <c r="Y282" s="43"/>
      <c r="Z282" s="43"/>
      <c r="AA282" s="43"/>
      <c r="AB282" s="43"/>
      <c r="AC282" s="43"/>
      <c r="AD282" s="43"/>
    </row>
    <row r="283">
      <c r="A283" s="43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4"/>
      <c r="P283" s="62"/>
      <c r="Q283" s="62"/>
      <c r="R283" s="62"/>
      <c r="S283" s="62"/>
      <c r="T283" s="62"/>
      <c r="U283" s="62"/>
      <c r="V283" s="62"/>
      <c r="W283" s="62"/>
      <c r="X283" s="62"/>
      <c r="Y283" s="43"/>
      <c r="Z283" s="43"/>
      <c r="AA283" s="43"/>
      <c r="AB283" s="43"/>
      <c r="AC283" s="43"/>
      <c r="AD283" s="43"/>
    </row>
    <row r="284">
      <c r="A284" s="43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4"/>
      <c r="P284" s="62"/>
      <c r="Q284" s="62"/>
      <c r="R284" s="62"/>
      <c r="S284" s="62"/>
      <c r="T284" s="62"/>
      <c r="U284" s="62"/>
      <c r="V284" s="62"/>
      <c r="W284" s="62"/>
      <c r="X284" s="62"/>
      <c r="Y284" s="43"/>
      <c r="Z284" s="43"/>
      <c r="AA284" s="43"/>
      <c r="AB284" s="43"/>
      <c r="AC284" s="43"/>
      <c r="AD284" s="43"/>
    </row>
    <row r="285">
      <c r="A285" s="43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4"/>
      <c r="P285" s="62"/>
      <c r="Q285" s="62"/>
      <c r="R285" s="62"/>
      <c r="S285" s="62"/>
      <c r="T285" s="62"/>
      <c r="U285" s="62"/>
      <c r="V285" s="62"/>
      <c r="W285" s="62"/>
      <c r="X285" s="62"/>
      <c r="Y285" s="43"/>
      <c r="Z285" s="43"/>
      <c r="AA285" s="43"/>
      <c r="AB285" s="43"/>
      <c r="AC285" s="43"/>
      <c r="AD285" s="43"/>
    </row>
    <row r="286">
      <c r="A286" s="43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4"/>
      <c r="P286" s="62"/>
      <c r="Q286" s="62"/>
      <c r="R286" s="62"/>
      <c r="S286" s="62"/>
      <c r="T286" s="62"/>
      <c r="U286" s="62"/>
      <c r="V286" s="62"/>
      <c r="W286" s="62"/>
      <c r="X286" s="62"/>
      <c r="Y286" s="43"/>
      <c r="Z286" s="43"/>
      <c r="AA286" s="43"/>
      <c r="AB286" s="43"/>
      <c r="AC286" s="43"/>
      <c r="AD286" s="43"/>
    </row>
    <row r="287">
      <c r="A287" s="43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4"/>
      <c r="P287" s="62"/>
      <c r="Q287" s="62"/>
      <c r="R287" s="62"/>
      <c r="S287" s="62"/>
      <c r="T287" s="62"/>
      <c r="U287" s="62"/>
      <c r="V287" s="62"/>
      <c r="W287" s="62"/>
      <c r="X287" s="62"/>
      <c r="Y287" s="43"/>
      <c r="Z287" s="43"/>
      <c r="AA287" s="43"/>
      <c r="AB287" s="43"/>
      <c r="AC287" s="43"/>
      <c r="AD287" s="43"/>
    </row>
    <row r="288">
      <c r="A288" s="43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4"/>
      <c r="P288" s="62"/>
      <c r="Q288" s="62"/>
      <c r="R288" s="62"/>
      <c r="S288" s="62"/>
      <c r="T288" s="62"/>
      <c r="U288" s="62"/>
      <c r="V288" s="62"/>
      <c r="W288" s="62"/>
      <c r="X288" s="62"/>
      <c r="Y288" s="43"/>
      <c r="Z288" s="43"/>
      <c r="AA288" s="43"/>
      <c r="AB288" s="43"/>
      <c r="AC288" s="43"/>
      <c r="AD288" s="43"/>
    </row>
    <row r="289">
      <c r="A289" s="43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4"/>
      <c r="P289" s="62"/>
      <c r="Q289" s="62"/>
      <c r="R289" s="62"/>
      <c r="S289" s="62"/>
      <c r="T289" s="62"/>
      <c r="U289" s="62"/>
      <c r="V289" s="62"/>
      <c r="W289" s="62"/>
      <c r="X289" s="62"/>
      <c r="Y289" s="43"/>
      <c r="Z289" s="43"/>
      <c r="AA289" s="43"/>
      <c r="AB289" s="43"/>
      <c r="AC289" s="43"/>
      <c r="AD289" s="43"/>
    </row>
    <row r="290">
      <c r="A290" s="43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4"/>
      <c r="P290" s="62"/>
      <c r="Q290" s="62"/>
      <c r="R290" s="62"/>
      <c r="S290" s="62"/>
      <c r="T290" s="62"/>
      <c r="U290" s="62"/>
      <c r="V290" s="62"/>
      <c r="W290" s="62"/>
      <c r="X290" s="62"/>
      <c r="Y290" s="43"/>
      <c r="Z290" s="43"/>
      <c r="AA290" s="43"/>
      <c r="AB290" s="43"/>
      <c r="AC290" s="43"/>
      <c r="AD290" s="43"/>
    </row>
    <row r="291">
      <c r="A291" s="43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4"/>
      <c r="P291" s="62"/>
      <c r="Q291" s="62"/>
      <c r="R291" s="62"/>
      <c r="S291" s="62"/>
      <c r="T291" s="62"/>
      <c r="U291" s="62"/>
      <c r="V291" s="62"/>
      <c r="W291" s="62"/>
      <c r="X291" s="62"/>
      <c r="Y291" s="43"/>
      <c r="Z291" s="43"/>
      <c r="AA291" s="43"/>
      <c r="AB291" s="43"/>
      <c r="AC291" s="43"/>
      <c r="AD291" s="43"/>
    </row>
    <row r="292">
      <c r="A292" s="43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4"/>
      <c r="P292" s="62"/>
      <c r="Q292" s="62"/>
      <c r="R292" s="62"/>
      <c r="S292" s="62"/>
      <c r="T292" s="62"/>
      <c r="U292" s="62"/>
      <c r="V292" s="62"/>
      <c r="W292" s="62"/>
      <c r="X292" s="62"/>
      <c r="Y292" s="43"/>
      <c r="Z292" s="43"/>
      <c r="AA292" s="43"/>
      <c r="AB292" s="43"/>
      <c r="AC292" s="43"/>
      <c r="AD292" s="43"/>
    </row>
    <row r="293">
      <c r="A293" s="43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4"/>
      <c r="P293" s="62"/>
      <c r="Q293" s="62"/>
      <c r="R293" s="62"/>
      <c r="S293" s="62"/>
      <c r="T293" s="62"/>
      <c r="U293" s="62"/>
      <c r="V293" s="62"/>
      <c r="W293" s="62"/>
      <c r="X293" s="62"/>
      <c r="Y293" s="43"/>
      <c r="Z293" s="43"/>
      <c r="AA293" s="43"/>
      <c r="AB293" s="43"/>
      <c r="AC293" s="43"/>
      <c r="AD293" s="43"/>
    </row>
    <row r="294">
      <c r="A294" s="43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4"/>
      <c r="P294" s="62"/>
      <c r="Q294" s="62"/>
      <c r="R294" s="62"/>
      <c r="S294" s="62"/>
      <c r="T294" s="62"/>
      <c r="U294" s="62"/>
      <c r="V294" s="62"/>
      <c r="W294" s="62"/>
      <c r="X294" s="62"/>
      <c r="Y294" s="43"/>
      <c r="Z294" s="43"/>
      <c r="AA294" s="43"/>
      <c r="AB294" s="43"/>
      <c r="AC294" s="43"/>
      <c r="AD294" s="43"/>
    </row>
    <row r="295">
      <c r="A295" s="43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4"/>
      <c r="P295" s="62"/>
      <c r="Q295" s="62"/>
      <c r="R295" s="62"/>
      <c r="S295" s="62"/>
      <c r="T295" s="62"/>
      <c r="U295" s="62"/>
      <c r="V295" s="62"/>
      <c r="W295" s="62"/>
      <c r="X295" s="62"/>
      <c r="Y295" s="43"/>
      <c r="Z295" s="43"/>
      <c r="AA295" s="43"/>
      <c r="AB295" s="43"/>
      <c r="AC295" s="43"/>
      <c r="AD295" s="43"/>
    </row>
    <row r="296">
      <c r="A296" s="43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4"/>
      <c r="P296" s="62"/>
      <c r="Q296" s="62"/>
      <c r="R296" s="62"/>
      <c r="S296" s="62"/>
      <c r="T296" s="62"/>
      <c r="U296" s="62"/>
      <c r="V296" s="62"/>
      <c r="W296" s="62"/>
      <c r="X296" s="62"/>
      <c r="Y296" s="43"/>
      <c r="Z296" s="43"/>
      <c r="AA296" s="43"/>
      <c r="AB296" s="43"/>
      <c r="AC296" s="43"/>
      <c r="AD296" s="43"/>
    </row>
    <row r="297">
      <c r="A297" s="43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4"/>
      <c r="P297" s="62"/>
      <c r="Q297" s="62"/>
      <c r="R297" s="62"/>
      <c r="S297" s="62"/>
      <c r="T297" s="62"/>
      <c r="U297" s="62"/>
      <c r="V297" s="62"/>
      <c r="W297" s="62"/>
      <c r="X297" s="62"/>
      <c r="Y297" s="43"/>
      <c r="Z297" s="43"/>
      <c r="AA297" s="43"/>
      <c r="AB297" s="43"/>
      <c r="AC297" s="43"/>
      <c r="AD297" s="43"/>
    </row>
    <row r="298">
      <c r="A298" s="43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4"/>
      <c r="P298" s="62"/>
      <c r="Q298" s="62"/>
      <c r="R298" s="62"/>
      <c r="S298" s="62"/>
      <c r="T298" s="62"/>
      <c r="U298" s="62"/>
      <c r="V298" s="62"/>
      <c r="W298" s="62"/>
      <c r="X298" s="62"/>
      <c r="Y298" s="43"/>
      <c r="Z298" s="43"/>
      <c r="AA298" s="43"/>
      <c r="AB298" s="43"/>
      <c r="AC298" s="43"/>
      <c r="AD298" s="43"/>
    </row>
    <row r="299">
      <c r="A299" s="43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4"/>
      <c r="P299" s="62"/>
      <c r="Q299" s="62"/>
      <c r="R299" s="62"/>
      <c r="S299" s="62"/>
      <c r="T299" s="62"/>
      <c r="U299" s="62"/>
      <c r="V299" s="62"/>
      <c r="W299" s="62"/>
      <c r="X299" s="62"/>
      <c r="Y299" s="43"/>
      <c r="Z299" s="43"/>
      <c r="AA299" s="43"/>
      <c r="AB299" s="43"/>
      <c r="AC299" s="43"/>
      <c r="AD299" s="43"/>
    </row>
    <row r="300">
      <c r="A300" s="43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4"/>
      <c r="P300" s="62"/>
      <c r="Q300" s="62"/>
      <c r="R300" s="62"/>
      <c r="S300" s="62"/>
      <c r="T300" s="62"/>
      <c r="U300" s="62"/>
      <c r="V300" s="62"/>
      <c r="W300" s="62"/>
      <c r="X300" s="62"/>
      <c r="Y300" s="43"/>
      <c r="Z300" s="43"/>
      <c r="AA300" s="43"/>
      <c r="AB300" s="43"/>
      <c r="AC300" s="43"/>
      <c r="AD300" s="43"/>
    </row>
    <row r="301">
      <c r="A301" s="43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4"/>
      <c r="P301" s="62"/>
      <c r="Q301" s="62"/>
      <c r="R301" s="62"/>
      <c r="S301" s="62"/>
      <c r="T301" s="62"/>
      <c r="U301" s="62"/>
      <c r="V301" s="62"/>
      <c r="W301" s="62"/>
      <c r="X301" s="62"/>
      <c r="Y301" s="43"/>
      <c r="Z301" s="43"/>
      <c r="AA301" s="43"/>
      <c r="AB301" s="43"/>
      <c r="AC301" s="43"/>
      <c r="AD301" s="43"/>
    </row>
    <row r="302">
      <c r="A302" s="43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4"/>
      <c r="P302" s="62"/>
      <c r="Q302" s="62"/>
      <c r="R302" s="62"/>
      <c r="S302" s="62"/>
      <c r="T302" s="62"/>
      <c r="U302" s="62"/>
      <c r="V302" s="62"/>
      <c r="W302" s="62"/>
      <c r="X302" s="62"/>
      <c r="Y302" s="43"/>
      <c r="Z302" s="43"/>
      <c r="AA302" s="43"/>
      <c r="AB302" s="43"/>
      <c r="AC302" s="43"/>
      <c r="AD302" s="43"/>
    </row>
    <row r="303">
      <c r="A303" s="43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4"/>
      <c r="P303" s="62"/>
      <c r="Q303" s="62"/>
      <c r="R303" s="62"/>
      <c r="S303" s="62"/>
      <c r="T303" s="62"/>
      <c r="U303" s="62"/>
      <c r="V303" s="62"/>
      <c r="W303" s="62"/>
      <c r="X303" s="62"/>
      <c r="Y303" s="43"/>
      <c r="Z303" s="43"/>
      <c r="AA303" s="43"/>
      <c r="AB303" s="43"/>
      <c r="AC303" s="43"/>
      <c r="AD303" s="43"/>
    </row>
    <row r="304">
      <c r="A304" s="43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4"/>
      <c r="P304" s="62"/>
      <c r="Q304" s="62"/>
      <c r="R304" s="62"/>
      <c r="S304" s="62"/>
      <c r="T304" s="62"/>
      <c r="U304" s="62"/>
      <c r="V304" s="62"/>
      <c r="W304" s="62"/>
      <c r="X304" s="62"/>
      <c r="Y304" s="43"/>
      <c r="Z304" s="43"/>
      <c r="AA304" s="43"/>
      <c r="AB304" s="43"/>
      <c r="AC304" s="43"/>
      <c r="AD304" s="43"/>
    </row>
    <row r="305">
      <c r="A305" s="43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4"/>
      <c r="P305" s="62"/>
      <c r="Q305" s="62"/>
      <c r="R305" s="62"/>
      <c r="S305" s="62"/>
      <c r="T305" s="62"/>
      <c r="U305" s="62"/>
      <c r="V305" s="62"/>
      <c r="W305" s="62"/>
      <c r="X305" s="62"/>
      <c r="Y305" s="43"/>
      <c r="Z305" s="43"/>
      <c r="AA305" s="43"/>
      <c r="AB305" s="43"/>
      <c r="AC305" s="43"/>
      <c r="AD305" s="43"/>
    </row>
    <row r="306">
      <c r="A306" s="43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4"/>
      <c r="P306" s="62"/>
      <c r="Q306" s="62"/>
      <c r="R306" s="62"/>
      <c r="S306" s="62"/>
      <c r="T306" s="62"/>
      <c r="U306" s="62"/>
      <c r="V306" s="62"/>
      <c r="W306" s="62"/>
      <c r="X306" s="62"/>
      <c r="Y306" s="43"/>
      <c r="Z306" s="43"/>
      <c r="AA306" s="43"/>
      <c r="AB306" s="43"/>
      <c r="AC306" s="43"/>
      <c r="AD306" s="43"/>
    </row>
    <row r="307">
      <c r="A307" s="43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4"/>
      <c r="P307" s="62"/>
      <c r="Q307" s="62"/>
      <c r="R307" s="62"/>
      <c r="S307" s="62"/>
      <c r="T307" s="62"/>
      <c r="U307" s="62"/>
      <c r="V307" s="62"/>
      <c r="W307" s="62"/>
      <c r="X307" s="62"/>
      <c r="Y307" s="43"/>
      <c r="Z307" s="43"/>
      <c r="AA307" s="43"/>
      <c r="AB307" s="43"/>
      <c r="AC307" s="43"/>
      <c r="AD307" s="43"/>
    </row>
    <row r="308">
      <c r="A308" s="43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4"/>
      <c r="P308" s="62"/>
      <c r="Q308" s="62"/>
      <c r="R308" s="62"/>
      <c r="S308" s="62"/>
      <c r="T308" s="62"/>
      <c r="U308" s="62"/>
      <c r="V308" s="62"/>
      <c r="W308" s="62"/>
      <c r="X308" s="62"/>
      <c r="Y308" s="43"/>
      <c r="Z308" s="43"/>
      <c r="AA308" s="43"/>
      <c r="AB308" s="43"/>
      <c r="AC308" s="43"/>
      <c r="AD308" s="43"/>
    </row>
    <row r="309">
      <c r="A309" s="43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4"/>
      <c r="P309" s="62"/>
      <c r="Q309" s="62"/>
      <c r="R309" s="62"/>
      <c r="S309" s="62"/>
      <c r="T309" s="62"/>
      <c r="U309" s="62"/>
      <c r="V309" s="62"/>
      <c r="W309" s="62"/>
      <c r="X309" s="62"/>
      <c r="Y309" s="43"/>
      <c r="Z309" s="43"/>
      <c r="AA309" s="43"/>
      <c r="AB309" s="43"/>
      <c r="AC309" s="43"/>
      <c r="AD309" s="43"/>
    </row>
    <row r="310">
      <c r="A310" s="43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4"/>
      <c r="P310" s="62"/>
      <c r="Q310" s="62"/>
      <c r="R310" s="62"/>
      <c r="S310" s="62"/>
      <c r="T310" s="62"/>
      <c r="U310" s="62"/>
      <c r="V310" s="62"/>
      <c r="W310" s="62"/>
      <c r="X310" s="62"/>
      <c r="Y310" s="43"/>
      <c r="Z310" s="43"/>
      <c r="AA310" s="43"/>
      <c r="AB310" s="43"/>
      <c r="AC310" s="43"/>
      <c r="AD310" s="43"/>
    </row>
    <row r="311">
      <c r="A311" s="43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4"/>
      <c r="P311" s="62"/>
      <c r="Q311" s="62"/>
      <c r="R311" s="62"/>
      <c r="S311" s="62"/>
      <c r="T311" s="62"/>
      <c r="U311" s="62"/>
      <c r="V311" s="62"/>
      <c r="W311" s="62"/>
      <c r="X311" s="62"/>
      <c r="Y311" s="43"/>
      <c r="Z311" s="43"/>
      <c r="AA311" s="43"/>
      <c r="AB311" s="43"/>
      <c r="AC311" s="43"/>
      <c r="AD311" s="43"/>
    </row>
    <row r="312">
      <c r="A312" s="43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4"/>
      <c r="P312" s="62"/>
      <c r="Q312" s="62"/>
      <c r="R312" s="62"/>
      <c r="S312" s="62"/>
      <c r="T312" s="62"/>
      <c r="U312" s="62"/>
      <c r="V312" s="62"/>
      <c r="W312" s="62"/>
      <c r="X312" s="62"/>
      <c r="Y312" s="43"/>
      <c r="Z312" s="43"/>
      <c r="AA312" s="43"/>
      <c r="AB312" s="43"/>
      <c r="AC312" s="43"/>
      <c r="AD312" s="43"/>
    </row>
    <row r="313">
      <c r="A313" s="43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4"/>
      <c r="P313" s="62"/>
      <c r="Q313" s="62"/>
      <c r="R313" s="62"/>
      <c r="S313" s="62"/>
      <c r="T313" s="62"/>
      <c r="U313" s="62"/>
      <c r="V313" s="62"/>
      <c r="W313" s="62"/>
      <c r="X313" s="62"/>
      <c r="Y313" s="43"/>
      <c r="Z313" s="43"/>
      <c r="AA313" s="43"/>
      <c r="AB313" s="43"/>
      <c r="AC313" s="43"/>
      <c r="AD313" s="43"/>
    </row>
    <row r="314">
      <c r="A314" s="43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4"/>
      <c r="P314" s="62"/>
      <c r="Q314" s="62"/>
      <c r="R314" s="62"/>
      <c r="S314" s="62"/>
      <c r="T314" s="62"/>
      <c r="U314" s="62"/>
      <c r="V314" s="62"/>
      <c r="W314" s="62"/>
      <c r="X314" s="62"/>
      <c r="Y314" s="43"/>
      <c r="Z314" s="43"/>
      <c r="AA314" s="43"/>
      <c r="AB314" s="43"/>
      <c r="AC314" s="43"/>
      <c r="AD314" s="43"/>
    </row>
    <row r="315">
      <c r="A315" s="43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4"/>
      <c r="P315" s="62"/>
      <c r="Q315" s="62"/>
      <c r="R315" s="62"/>
      <c r="S315" s="62"/>
      <c r="T315" s="62"/>
      <c r="U315" s="62"/>
      <c r="V315" s="62"/>
      <c r="W315" s="62"/>
      <c r="X315" s="62"/>
      <c r="Y315" s="43"/>
      <c r="Z315" s="43"/>
      <c r="AA315" s="43"/>
      <c r="AB315" s="43"/>
      <c r="AC315" s="43"/>
      <c r="AD315" s="43"/>
    </row>
    <row r="316">
      <c r="A316" s="43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4"/>
      <c r="P316" s="62"/>
      <c r="Q316" s="62"/>
      <c r="R316" s="62"/>
      <c r="S316" s="62"/>
      <c r="T316" s="62"/>
      <c r="U316" s="62"/>
      <c r="V316" s="62"/>
      <c r="W316" s="62"/>
      <c r="X316" s="62"/>
      <c r="Y316" s="43"/>
      <c r="Z316" s="43"/>
      <c r="AA316" s="43"/>
      <c r="AB316" s="43"/>
      <c r="AC316" s="43"/>
      <c r="AD316" s="43"/>
    </row>
    <row r="317">
      <c r="A317" s="43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4"/>
      <c r="P317" s="62"/>
      <c r="Q317" s="62"/>
      <c r="R317" s="62"/>
      <c r="S317" s="62"/>
      <c r="T317" s="62"/>
      <c r="U317" s="62"/>
      <c r="V317" s="62"/>
      <c r="W317" s="62"/>
      <c r="X317" s="62"/>
      <c r="Y317" s="43"/>
      <c r="Z317" s="43"/>
      <c r="AA317" s="43"/>
      <c r="AB317" s="43"/>
      <c r="AC317" s="43"/>
      <c r="AD317" s="43"/>
    </row>
    <row r="318">
      <c r="A318" s="43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4"/>
      <c r="P318" s="62"/>
      <c r="Q318" s="62"/>
      <c r="R318" s="62"/>
      <c r="S318" s="62"/>
      <c r="T318" s="62"/>
      <c r="U318" s="62"/>
      <c r="V318" s="62"/>
      <c r="W318" s="62"/>
      <c r="X318" s="62"/>
      <c r="Y318" s="43"/>
      <c r="Z318" s="43"/>
      <c r="AA318" s="43"/>
      <c r="AB318" s="43"/>
      <c r="AC318" s="43"/>
      <c r="AD318" s="43"/>
    </row>
    <row r="319">
      <c r="A319" s="43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4"/>
      <c r="P319" s="62"/>
      <c r="Q319" s="62"/>
      <c r="R319" s="62"/>
      <c r="S319" s="62"/>
      <c r="T319" s="62"/>
      <c r="U319" s="62"/>
      <c r="V319" s="62"/>
      <c r="W319" s="62"/>
      <c r="X319" s="62"/>
      <c r="Y319" s="43"/>
      <c r="Z319" s="43"/>
      <c r="AA319" s="43"/>
      <c r="AB319" s="43"/>
      <c r="AC319" s="43"/>
      <c r="AD319" s="43"/>
    </row>
    <row r="320">
      <c r="A320" s="43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4"/>
      <c r="P320" s="62"/>
      <c r="Q320" s="62"/>
      <c r="R320" s="62"/>
      <c r="S320" s="62"/>
      <c r="T320" s="62"/>
      <c r="U320" s="62"/>
      <c r="V320" s="62"/>
      <c r="W320" s="62"/>
      <c r="X320" s="62"/>
      <c r="Y320" s="43"/>
      <c r="Z320" s="43"/>
      <c r="AA320" s="43"/>
      <c r="AB320" s="43"/>
      <c r="AC320" s="43"/>
      <c r="AD320" s="43"/>
    </row>
    <row r="321">
      <c r="A321" s="43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4"/>
      <c r="P321" s="62"/>
      <c r="Q321" s="62"/>
      <c r="R321" s="62"/>
      <c r="S321" s="62"/>
      <c r="T321" s="62"/>
      <c r="U321" s="62"/>
      <c r="V321" s="62"/>
      <c r="W321" s="62"/>
      <c r="X321" s="62"/>
      <c r="Y321" s="43"/>
      <c r="Z321" s="43"/>
      <c r="AA321" s="43"/>
      <c r="AB321" s="43"/>
      <c r="AC321" s="43"/>
      <c r="AD321" s="43"/>
    </row>
    <row r="322">
      <c r="A322" s="43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4"/>
      <c r="P322" s="62"/>
      <c r="Q322" s="62"/>
      <c r="R322" s="62"/>
      <c r="S322" s="62"/>
      <c r="T322" s="62"/>
      <c r="U322" s="62"/>
      <c r="V322" s="62"/>
      <c r="W322" s="62"/>
      <c r="X322" s="62"/>
      <c r="Y322" s="43"/>
      <c r="Z322" s="43"/>
      <c r="AA322" s="43"/>
      <c r="AB322" s="43"/>
      <c r="AC322" s="43"/>
      <c r="AD322" s="43"/>
    </row>
    <row r="323">
      <c r="A323" s="43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4"/>
      <c r="P323" s="62"/>
      <c r="Q323" s="62"/>
      <c r="R323" s="62"/>
      <c r="S323" s="62"/>
      <c r="T323" s="62"/>
      <c r="U323" s="62"/>
      <c r="V323" s="62"/>
      <c r="W323" s="62"/>
      <c r="X323" s="62"/>
      <c r="Y323" s="43"/>
      <c r="Z323" s="43"/>
      <c r="AA323" s="43"/>
      <c r="AB323" s="43"/>
      <c r="AC323" s="43"/>
      <c r="AD323" s="43"/>
    </row>
    <row r="324">
      <c r="A324" s="43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4"/>
      <c r="P324" s="62"/>
      <c r="Q324" s="62"/>
      <c r="R324" s="62"/>
      <c r="S324" s="62"/>
      <c r="T324" s="62"/>
      <c r="U324" s="62"/>
      <c r="V324" s="62"/>
      <c r="W324" s="62"/>
      <c r="X324" s="62"/>
      <c r="Y324" s="43"/>
      <c r="Z324" s="43"/>
      <c r="AA324" s="43"/>
      <c r="AB324" s="43"/>
      <c r="AC324" s="43"/>
      <c r="AD324" s="43"/>
    </row>
    <row r="325">
      <c r="A325" s="43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4"/>
      <c r="P325" s="62"/>
      <c r="Q325" s="62"/>
      <c r="R325" s="62"/>
      <c r="S325" s="62"/>
      <c r="T325" s="62"/>
      <c r="U325" s="62"/>
      <c r="V325" s="62"/>
      <c r="W325" s="62"/>
      <c r="X325" s="62"/>
      <c r="Y325" s="43"/>
      <c r="Z325" s="43"/>
      <c r="AA325" s="43"/>
      <c r="AB325" s="43"/>
      <c r="AC325" s="43"/>
      <c r="AD325" s="43"/>
    </row>
    <row r="326">
      <c r="A326" s="43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4"/>
      <c r="P326" s="62"/>
      <c r="Q326" s="62"/>
      <c r="R326" s="62"/>
      <c r="S326" s="62"/>
      <c r="T326" s="62"/>
      <c r="U326" s="62"/>
      <c r="V326" s="62"/>
      <c r="W326" s="62"/>
      <c r="X326" s="62"/>
      <c r="Y326" s="43"/>
      <c r="Z326" s="43"/>
      <c r="AA326" s="43"/>
      <c r="AB326" s="43"/>
      <c r="AC326" s="43"/>
      <c r="AD326" s="43"/>
    </row>
    <row r="327">
      <c r="A327" s="43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4"/>
      <c r="P327" s="62"/>
      <c r="Q327" s="62"/>
      <c r="R327" s="62"/>
      <c r="S327" s="62"/>
      <c r="T327" s="62"/>
      <c r="U327" s="62"/>
      <c r="V327" s="62"/>
      <c r="W327" s="62"/>
      <c r="X327" s="62"/>
      <c r="Y327" s="43"/>
      <c r="Z327" s="43"/>
      <c r="AA327" s="43"/>
      <c r="AB327" s="43"/>
      <c r="AC327" s="43"/>
      <c r="AD327" s="43"/>
    </row>
    <row r="328">
      <c r="A328" s="43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4"/>
      <c r="P328" s="62"/>
      <c r="Q328" s="62"/>
      <c r="R328" s="62"/>
      <c r="S328" s="62"/>
      <c r="T328" s="62"/>
      <c r="U328" s="62"/>
      <c r="V328" s="62"/>
      <c r="W328" s="62"/>
      <c r="X328" s="62"/>
      <c r="Y328" s="43"/>
      <c r="Z328" s="43"/>
      <c r="AA328" s="43"/>
      <c r="AB328" s="43"/>
      <c r="AC328" s="43"/>
      <c r="AD328" s="43"/>
    </row>
    <row r="329">
      <c r="A329" s="43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4"/>
      <c r="P329" s="62"/>
      <c r="Q329" s="62"/>
      <c r="R329" s="62"/>
      <c r="S329" s="62"/>
      <c r="T329" s="62"/>
      <c r="U329" s="62"/>
      <c r="V329" s="62"/>
      <c r="W329" s="62"/>
      <c r="X329" s="62"/>
      <c r="Y329" s="43"/>
      <c r="Z329" s="43"/>
      <c r="AA329" s="43"/>
      <c r="AB329" s="43"/>
      <c r="AC329" s="43"/>
      <c r="AD329" s="43"/>
    </row>
    <row r="330">
      <c r="A330" s="43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4"/>
      <c r="P330" s="62"/>
      <c r="Q330" s="62"/>
      <c r="R330" s="62"/>
      <c r="S330" s="62"/>
      <c r="T330" s="62"/>
      <c r="U330" s="62"/>
      <c r="V330" s="62"/>
      <c r="W330" s="62"/>
      <c r="X330" s="62"/>
      <c r="Y330" s="43"/>
      <c r="Z330" s="43"/>
      <c r="AA330" s="43"/>
      <c r="AB330" s="43"/>
      <c r="AC330" s="43"/>
      <c r="AD330" s="43"/>
    </row>
    <row r="331">
      <c r="A331" s="43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4"/>
      <c r="P331" s="62"/>
      <c r="Q331" s="62"/>
      <c r="R331" s="62"/>
      <c r="S331" s="62"/>
      <c r="T331" s="62"/>
      <c r="U331" s="62"/>
      <c r="V331" s="62"/>
      <c r="W331" s="62"/>
      <c r="X331" s="62"/>
      <c r="Y331" s="43"/>
      <c r="Z331" s="43"/>
      <c r="AA331" s="43"/>
      <c r="AB331" s="43"/>
      <c r="AC331" s="43"/>
      <c r="AD331" s="43"/>
    </row>
    <row r="332">
      <c r="A332" s="43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4"/>
      <c r="P332" s="62"/>
      <c r="Q332" s="62"/>
      <c r="R332" s="62"/>
      <c r="S332" s="62"/>
      <c r="T332" s="62"/>
      <c r="U332" s="62"/>
      <c r="V332" s="62"/>
      <c r="W332" s="62"/>
      <c r="X332" s="62"/>
      <c r="Y332" s="43"/>
      <c r="Z332" s="43"/>
      <c r="AA332" s="43"/>
      <c r="AB332" s="43"/>
      <c r="AC332" s="43"/>
      <c r="AD332" s="43"/>
    </row>
    <row r="333">
      <c r="A333" s="43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4"/>
      <c r="P333" s="62"/>
      <c r="Q333" s="62"/>
      <c r="R333" s="62"/>
      <c r="S333" s="62"/>
      <c r="T333" s="62"/>
      <c r="U333" s="62"/>
      <c r="V333" s="62"/>
      <c r="W333" s="62"/>
      <c r="X333" s="62"/>
      <c r="Y333" s="43"/>
      <c r="Z333" s="43"/>
      <c r="AA333" s="43"/>
      <c r="AB333" s="43"/>
      <c r="AC333" s="43"/>
      <c r="AD333" s="43"/>
    </row>
    <row r="334">
      <c r="A334" s="43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4"/>
      <c r="P334" s="62"/>
      <c r="Q334" s="62"/>
      <c r="R334" s="62"/>
      <c r="S334" s="62"/>
      <c r="T334" s="62"/>
      <c r="U334" s="62"/>
      <c r="V334" s="62"/>
      <c r="W334" s="62"/>
      <c r="X334" s="62"/>
      <c r="Y334" s="43"/>
      <c r="Z334" s="43"/>
      <c r="AA334" s="43"/>
      <c r="AB334" s="43"/>
      <c r="AC334" s="43"/>
      <c r="AD334" s="43"/>
    </row>
    <row r="335">
      <c r="A335" s="43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4"/>
      <c r="P335" s="62"/>
      <c r="Q335" s="62"/>
      <c r="R335" s="62"/>
      <c r="S335" s="62"/>
      <c r="T335" s="62"/>
      <c r="U335" s="62"/>
      <c r="V335" s="62"/>
      <c r="W335" s="62"/>
      <c r="X335" s="62"/>
      <c r="Y335" s="43"/>
      <c r="Z335" s="43"/>
      <c r="AA335" s="43"/>
      <c r="AB335" s="43"/>
      <c r="AC335" s="43"/>
      <c r="AD335" s="43"/>
    </row>
    <row r="336">
      <c r="A336" s="43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4"/>
      <c r="P336" s="62"/>
      <c r="Q336" s="62"/>
      <c r="R336" s="62"/>
      <c r="S336" s="62"/>
      <c r="T336" s="62"/>
      <c r="U336" s="62"/>
      <c r="V336" s="62"/>
      <c r="W336" s="62"/>
      <c r="X336" s="62"/>
      <c r="Y336" s="43"/>
      <c r="Z336" s="43"/>
      <c r="AA336" s="43"/>
      <c r="AB336" s="43"/>
      <c r="AC336" s="43"/>
      <c r="AD336" s="43"/>
    </row>
    <row r="337">
      <c r="A337" s="43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4"/>
      <c r="P337" s="62"/>
      <c r="Q337" s="62"/>
      <c r="R337" s="62"/>
      <c r="S337" s="62"/>
      <c r="T337" s="62"/>
      <c r="U337" s="62"/>
      <c r="V337" s="62"/>
      <c r="W337" s="62"/>
      <c r="X337" s="62"/>
      <c r="Y337" s="43"/>
      <c r="Z337" s="43"/>
      <c r="AA337" s="43"/>
      <c r="AB337" s="43"/>
      <c r="AC337" s="43"/>
      <c r="AD337" s="43"/>
    </row>
    <row r="338">
      <c r="A338" s="43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4"/>
      <c r="P338" s="62"/>
      <c r="Q338" s="62"/>
      <c r="R338" s="62"/>
      <c r="S338" s="62"/>
      <c r="T338" s="62"/>
      <c r="U338" s="62"/>
      <c r="V338" s="62"/>
      <c r="W338" s="62"/>
      <c r="X338" s="62"/>
      <c r="Y338" s="43"/>
      <c r="Z338" s="43"/>
      <c r="AA338" s="43"/>
      <c r="AB338" s="43"/>
      <c r="AC338" s="43"/>
      <c r="AD338" s="43"/>
    </row>
    <row r="339">
      <c r="A339" s="43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4"/>
      <c r="P339" s="62"/>
      <c r="Q339" s="62"/>
      <c r="R339" s="62"/>
      <c r="S339" s="62"/>
      <c r="T339" s="62"/>
      <c r="U339" s="62"/>
      <c r="V339" s="62"/>
      <c r="W339" s="62"/>
      <c r="X339" s="62"/>
      <c r="Y339" s="43"/>
      <c r="Z339" s="43"/>
      <c r="AA339" s="43"/>
      <c r="AB339" s="43"/>
      <c r="AC339" s="43"/>
      <c r="AD339" s="43"/>
    </row>
    <row r="340">
      <c r="A340" s="43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4"/>
      <c r="P340" s="62"/>
      <c r="Q340" s="62"/>
      <c r="R340" s="62"/>
      <c r="S340" s="62"/>
      <c r="T340" s="62"/>
      <c r="U340" s="62"/>
      <c r="V340" s="62"/>
      <c r="W340" s="62"/>
      <c r="X340" s="62"/>
      <c r="Y340" s="43"/>
      <c r="Z340" s="43"/>
      <c r="AA340" s="43"/>
      <c r="AB340" s="43"/>
      <c r="AC340" s="43"/>
      <c r="AD340" s="43"/>
    </row>
    <row r="341">
      <c r="A341" s="43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4"/>
      <c r="P341" s="62"/>
      <c r="Q341" s="62"/>
      <c r="R341" s="62"/>
      <c r="S341" s="62"/>
      <c r="T341" s="62"/>
      <c r="U341" s="62"/>
      <c r="V341" s="62"/>
      <c r="W341" s="62"/>
      <c r="X341" s="62"/>
      <c r="Y341" s="43"/>
      <c r="Z341" s="43"/>
      <c r="AA341" s="43"/>
      <c r="AB341" s="43"/>
      <c r="AC341" s="43"/>
      <c r="AD341" s="43"/>
    </row>
    <row r="342">
      <c r="A342" s="43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4"/>
      <c r="P342" s="62"/>
      <c r="Q342" s="62"/>
      <c r="R342" s="62"/>
      <c r="S342" s="62"/>
      <c r="T342" s="62"/>
      <c r="U342" s="62"/>
      <c r="V342" s="62"/>
      <c r="W342" s="62"/>
      <c r="X342" s="62"/>
      <c r="Y342" s="43"/>
      <c r="Z342" s="43"/>
      <c r="AA342" s="43"/>
      <c r="AB342" s="43"/>
      <c r="AC342" s="43"/>
      <c r="AD342" s="43"/>
    </row>
    <row r="343">
      <c r="A343" s="43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4"/>
      <c r="P343" s="62"/>
      <c r="Q343" s="62"/>
      <c r="R343" s="62"/>
      <c r="S343" s="62"/>
      <c r="T343" s="62"/>
      <c r="U343" s="62"/>
      <c r="V343" s="62"/>
      <c r="W343" s="62"/>
      <c r="X343" s="62"/>
      <c r="Y343" s="43"/>
      <c r="Z343" s="43"/>
      <c r="AA343" s="43"/>
      <c r="AB343" s="43"/>
      <c r="AC343" s="43"/>
      <c r="AD343" s="43"/>
    </row>
    <row r="344">
      <c r="A344" s="43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4"/>
      <c r="P344" s="62"/>
      <c r="Q344" s="62"/>
      <c r="R344" s="62"/>
      <c r="S344" s="62"/>
      <c r="T344" s="62"/>
      <c r="U344" s="62"/>
      <c r="V344" s="62"/>
      <c r="W344" s="62"/>
      <c r="X344" s="62"/>
      <c r="Y344" s="43"/>
      <c r="Z344" s="43"/>
      <c r="AA344" s="43"/>
      <c r="AB344" s="43"/>
      <c r="AC344" s="43"/>
      <c r="AD344" s="43"/>
    </row>
    <row r="345">
      <c r="A345" s="43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4"/>
      <c r="P345" s="62"/>
      <c r="Q345" s="62"/>
      <c r="R345" s="62"/>
      <c r="S345" s="62"/>
      <c r="T345" s="62"/>
      <c r="U345" s="62"/>
      <c r="V345" s="62"/>
      <c r="W345" s="62"/>
      <c r="X345" s="62"/>
      <c r="Y345" s="43"/>
      <c r="Z345" s="43"/>
      <c r="AA345" s="43"/>
      <c r="AB345" s="43"/>
      <c r="AC345" s="43"/>
      <c r="AD345" s="43"/>
    </row>
    <row r="346">
      <c r="A346" s="43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4"/>
      <c r="P346" s="62"/>
      <c r="Q346" s="62"/>
      <c r="R346" s="62"/>
      <c r="S346" s="62"/>
      <c r="T346" s="62"/>
      <c r="U346" s="62"/>
      <c r="V346" s="62"/>
      <c r="W346" s="62"/>
      <c r="X346" s="62"/>
      <c r="Y346" s="43"/>
      <c r="Z346" s="43"/>
      <c r="AA346" s="43"/>
      <c r="AB346" s="43"/>
      <c r="AC346" s="43"/>
      <c r="AD346" s="43"/>
    </row>
    <row r="347">
      <c r="A347" s="43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4"/>
      <c r="P347" s="62"/>
      <c r="Q347" s="62"/>
      <c r="R347" s="62"/>
      <c r="S347" s="62"/>
      <c r="T347" s="62"/>
      <c r="U347" s="62"/>
      <c r="V347" s="62"/>
      <c r="W347" s="62"/>
      <c r="X347" s="62"/>
      <c r="Y347" s="43"/>
      <c r="Z347" s="43"/>
      <c r="AA347" s="43"/>
      <c r="AB347" s="43"/>
      <c r="AC347" s="43"/>
      <c r="AD347" s="43"/>
    </row>
    <row r="348">
      <c r="A348" s="43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4"/>
      <c r="P348" s="62"/>
      <c r="Q348" s="62"/>
      <c r="R348" s="62"/>
      <c r="S348" s="62"/>
      <c r="T348" s="62"/>
      <c r="U348" s="62"/>
      <c r="V348" s="62"/>
      <c r="W348" s="62"/>
      <c r="X348" s="62"/>
      <c r="Y348" s="43"/>
      <c r="Z348" s="43"/>
      <c r="AA348" s="43"/>
      <c r="AB348" s="43"/>
      <c r="AC348" s="43"/>
      <c r="AD348" s="43"/>
    </row>
    <row r="349">
      <c r="A349" s="43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4"/>
      <c r="P349" s="62"/>
      <c r="Q349" s="62"/>
      <c r="R349" s="62"/>
      <c r="S349" s="62"/>
      <c r="T349" s="62"/>
      <c r="U349" s="62"/>
      <c r="V349" s="62"/>
      <c r="W349" s="62"/>
      <c r="X349" s="62"/>
      <c r="Y349" s="43"/>
      <c r="Z349" s="43"/>
      <c r="AA349" s="43"/>
      <c r="AB349" s="43"/>
      <c r="AC349" s="43"/>
      <c r="AD349" s="43"/>
    </row>
    <row r="350">
      <c r="A350" s="43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4"/>
      <c r="P350" s="62"/>
      <c r="Q350" s="62"/>
      <c r="R350" s="62"/>
      <c r="S350" s="62"/>
      <c r="T350" s="62"/>
      <c r="U350" s="62"/>
      <c r="V350" s="62"/>
      <c r="W350" s="62"/>
      <c r="X350" s="62"/>
      <c r="Y350" s="43"/>
      <c r="Z350" s="43"/>
      <c r="AA350" s="43"/>
      <c r="AB350" s="43"/>
      <c r="AC350" s="43"/>
      <c r="AD350" s="43"/>
    </row>
    <row r="351">
      <c r="A351" s="43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4"/>
      <c r="P351" s="62"/>
      <c r="Q351" s="62"/>
      <c r="R351" s="62"/>
      <c r="S351" s="62"/>
      <c r="T351" s="62"/>
      <c r="U351" s="62"/>
      <c r="V351" s="62"/>
      <c r="W351" s="62"/>
      <c r="X351" s="62"/>
      <c r="Y351" s="43"/>
      <c r="Z351" s="43"/>
      <c r="AA351" s="43"/>
      <c r="AB351" s="43"/>
      <c r="AC351" s="43"/>
      <c r="AD351" s="43"/>
    </row>
    <row r="352">
      <c r="A352" s="43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4"/>
      <c r="P352" s="62"/>
      <c r="Q352" s="62"/>
      <c r="R352" s="62"/>
      <c r="S352" s="62"/>
      <c r="T352" s="62"/>
      <c r="U352" s="62"/>
      <c r="V352" s="62"/>
      <c r="W352" s="62"/>
      <c r="X352" s="62"/>
      <c r="Y352" s="43"/>
      <c r="Z352" s="43"/>
      <c r="AA352" s="43"/>
      <c r="AB352" s="43"/>
      <c r="AC352" s="43"/>
      <c r="AD352" s="43"/>
    </row>
    <row r="353">
      <c r="A353" s="43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4"/>
      <c r="P353" s="62"/>
      <c r="Q353" s="62"/>
      <c r="R353" s="62"/>
      <c r="S353" s="62"/>
      <c r="T353" s="62"/>
      <c r="U353" s="62"/>
      <c r="V353" s="62"/>
      <c r="W353" s="62"/>
      <c r="X353" s="62"/>
      <c r="Y353" s="43"/>
      <c r="Z353" s="43"/>
      <c r="AA353" s="43"/>
      <c r="AB353" s="43"/>
      <c r="AC353" s="43"/>
      <c r="AD353" s="43"/>
    </row>
    <row r="354">
      <c r="A354" s="43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4"/>
      <c r="P354" s="62"/>
      <c r="Q354" s="62"/>
      <c r="R354" s="62"/>
      <c r="S354" s="62"/>
      <c r="T354" s="62"/>
      <c r="U354" s="62"/>
      <c r="V354" s="62"/>
      <c r="W354" s="62"/>
      <c r="X354" s="62"/>
      <c r="Y354" s="43"/>
      <c r="Z354" s="43"/>
      <c r="AA354" s="43"/>
      <c r="AB354" s="43"/>
      <c r="AC354" s="43"/>
      <c r="AD354" s="43"/>
    </row>
    <row r="355">
      <c r="A355" s="43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4"/>
      <c r="P355" s="62"/>
      <c r="Q355" s="62"/>
      <c r="R355" s="62"/>
      <c r="S355" s="62"/>
      <c r="T355" s="62"/>
      <c r="U355" s="62"/>
      <c r="V355" s="62"/>
      <c r="W355" s="62"/>
      <c r="X355" s="62"/>
      <c r="Y355" s="43"/>
      <c r="Z355" s="43"/>
      <c r="AA355" s="43"/>
      <c r="AB355" s="43"/>
      <c r="AC355" s="43"/>
      <c r="AD355" s="43"/>
    </row>
    <row r="356">
      <c r="A356" s="43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4"/>
      <c r="P356" s="62"/>
      <c r="Q356" s="62"/>
      <c r="R356" s="62"/>
      <c r="S356" s="62"/>
      <c r="T356" s="62"/>
      <c r="U356" s="62"/>
      <c r="V356" s="62"/>
      <c r="W356" s="62"/>
      <c r="X356" s="62"/>
      <c r="Y356" s="43"/>
      <c r="Z356" s="43"/>
      <c r="AA356" s="43"/>
      <c r="AB356" s="43"/>
      <c r="AC356" s="43"/>
      <c r="AD356" s="43"/>
    </row>
    <row r="357">
      <c r="A357" s="43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4"/>
      <c r="P357" s="62"/>
      <c r="Q357" s="62"/>
      <c r="R357" s="62"/>
      <c r="S357" s="62"/>
      <c r="T357" s="62"/>
      <c r="U357" s="62"/>
      <c r="V357" s="62"/>
      <c r="W357" s="62"/>
      <c r="X357" s="62"/>
      <c r="Y357" s="43"/>
      <c r="Z357" s="43"/>
      <c r="AA357" s="43"/>
      <c r="AB357" s="43"/>
      <c r="AC357" s="43"/>
      <c r="AD357" s="43"/>
    </row>
    <row r="358">
      <c r="A358" s="43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4"/>
      <c r="P358" s="62"/>
      <c r="Q358" s="62"/>
      <c r="R358" s="62"/>
      <c r="S358" s="62"/>
      <c r="T358" s="62"/>
      <c r="U358" s="62"/>
      <c r="V358" s="62"/>
      <c r="W358" s="62"/>
      <c r="X358" s="62"/>
      <c r="Y358" s="43"/>
      <c r="Z358" s="43"/>
      <c r="AA358" s="43"/>
      <c r="AB358" s="43"/>
      <c r="AC358" s="43"/>
      <c r="AD358" s="43"/>
    </row>
    <row r="359">
      <c r="A359" s="43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4"/>
      <c r="P359" s="62"/>
      <c r="Q359" s="62"/>
      <c r="R359" s="62"/>
      <c r="S359" s="62"/>
      <c r="T359" s="62"/>
      <c r="U359" s="62"/>
      <c r="V359" s="62"/>
      <c r="W359" s="62"/>
      <c r="X359" s="62"/>
      <c r="Y359" s="43"/>
      <c r="Z359" s="43"/>
      <c r="AA359" s="43"/>
      <c r="AB359" s="43"/>
      <c r="AC359" s="43"/>
      <c r="AD359" s="43"/>
    </row>
    <row r="360">
      <c r="A360" s="43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4"/>
      <c r="P360" s="62"/>
      <c r="Q360" s="62"/>
      <c r="R360" s="62"/>
      <c r="S360" s="62"/>
      <c r="T360" s="62"/>
      <c r="U360" s="62"/>
      <c r="V360" s="62"/>
      <c r="W360" s="62"/>
      <c r="X360" s="62"/>
      <c r="Y360" s="43"/>
      <c r="Z360" s="43"/>
      <c r="AA360" s="43"/>
      <c r="AB360" s="43"/>
      <c r="AC360" s="43"/>
      <c r="AD360" s="43"/>
    </row>
    <row r="361">
      <c r="A361" s="43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4"/>
      <c r="P361" s="62"/>
      <c r="Q361" s="62"/>
      <c r="R361" s="62"/>
      <c r="S361" s="62"/>
      <c r="T361" s="62"/>
      <c r="U361" s="62"/>
      <c r="V361" s="62"/>
      <c r="W361" s="62"/>
      <c r="X361" s="62"/>
      <c r="Y361" s="43"/>
      <c r="Z361" s="43"/>
      <c r="AA361" s="43"/>
      <c r="AB361" s="43"/>
      <c r="AC361" s="43"/>
      <c r="AD361" s="43"/>
    </row>
    <row r="362">
      <c r="A362" s="43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4"/>
      <c r="P362" s="62"/>
      <c r="Q362" s="62"/>
      <c r="R362" s="62"/>
      <c r="S362" s="62"/>
      <c r="T362" s="62"/>
      <c r="U362" s="62"/>
      <c r="V362" s="62"/>
      <c r="W362" s="62"/>
      <c r="X362" s="62"/>
      <c r="Y362" s="43"/>
      <c r="Z362" s="43"/>
      <c r="AA362" s="43"/>
      <c r="AB362" s="43"/>
      <c r="AC362" s="43"/>
      <c r="AD362" s="43"/>
    </row>
    <row r="363">
      <c r="A363" s="43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4"/>
      <c r="P363" s="62"/>
      <c r="Q363" s="62"/>
      <c r="R363" s="62"/>
      <c r="S363" s="62"/>
      <c r="T363" s="62"/>
      <c r="U363" s="62"/>
      <c r="V363" s="62"/>
      <c r="W363" s="62"/>
      <c r="X363" s="62"/>
      <c r="Y363" s="43"/>
      <c r="Z363" s="43"/>
      <c r="AA363" s="43"/>
      <c r="AB363" s="43"/>
      <c r="AC363" s="43"/>
      <c r="AD363" s="43"/>
    </row>
    <row r="364">
      <c r="A364" s="43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4"/>
      <c r="P364" s="62"/>
      <c r="Q364" s="62"/>
      <c r="R364" s="62"/>
      <c r="S364" s="62"/>
      <c r="T364" s="62"/>
      <c r="U364" s="62"/>
      <c r="V364" s="62"/>
      <c r="W364" s="62"/>
      <c r="X364" s="62"/>
      <c r="Y364" s="43"/>
      <c r="Z364" s="43"/>
      <c r="AA364" s="43"/>
      <c r="AB364" s="43"/>
      <c r="AC364" s="43"/>
      <c r="AD364" s="43"/>
    </row>
    <row r="365">
      <c r="A365" s="43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4"/>
      <c r="P365" s="62"/>
      <c r="Q365" s="62"/>
      <c r="R365" s="62"/>
      <c r="S365" s="62"/>
      <c r="T365" s="62"/>
      <c r="U365" s="62"/>
      <c r="V365" s="62"/>
      <c r="W365" s="62"/>
      <c r="X365" s="62"/>
      <c r="Y365" s="43"/>
      <c r="Z365" s="43"/>
      <c r="AA365" s="43"/>
      <c r="AB365" s="43"/>
      <c r="AC365" s="43"/>
      <c r="AD365" s="43"/>
    </row>
    <row r="366">
      <c r="A366" s="43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4"/>
      <c r="P366" s="62"/>
      <c r="Q366" s="62"/>
      <c r="R366" s="62"/>
      <c r="S366" s="62"/>
      <c r="T366" s="62"/>
      <c r="U366" s="62"/>
      <c r="V366" s="62"/>
      <c r="W366" s="62"/>
      <c r="X366" s="62"/>
      <c r="Y366" s="43"/>
      <c r="Z366" s="43"/>
      <c r="AA366" s="43"/>
      <c r="AB366" s="43"/>
      <c r="AC366" s="43"/>
      <c r="AD366" s="43"/>
    </row>
    <row r="367">
      <c r="A367" s="43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4"/>
      <c r="P367" s="62"/>
      <c r="Q367" s="62"/>
      <c r="R367" s="62"/>
      <c r="S367" s="62"/>
      <c r="T367" s="62"/>
      <c r="U367" s="62"/>
      <c r="V367" s="62"/>
      <c r="W367" s="62"/>
      <c r="X367" s="62"/>
      <c r="Y367" s="43"/>
      <c r="Z367" s="43"/>
      <c r="AA367" s="43"/>
      <c r="AB367" s="43"/>
      <c r="AC367" s="43"/>
      <c r="AD367" s="43"/>
    </row>
    <row r="368">
      <c r="A368" s="43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4"/>
      <c r="P368" s="62"/>
      <c r="Q368" s="62"/>
      <c r="R368" s="62"/>
      <c r="S368" s="62"/>
      <c r="T368" s="62"/>
      <c r="U368" s="62"/>
      <c r="V368" s="62"/>
      <c r="W368" s="62"/>
      <c r="X368" s="62"/>
      <c r="Y368" s="43"/>
      <c r="Z368" s="43"/>
      <c r="AA368" s="43"/>
      <c r="AB368" s="43"/>
      <c r="AC368" s="43"/>
      <c r="AD368" s="43"/>
    </row>
    <row r="369">
      <c r="A369" s="43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4"/>
      <c r="P369" s="62"/>
      <c r="Q369" s="62"/>
      <c r="R369" s="62"/>
      <c r="S369" s="62"/>
      <c r="T369" s="62"/>
      <c r="U369" s="62"/>
      <c r="V369" s="62"/>
      <c r="W369" s="62"/>
      <c r="X369" s="62"/>
      <c r="Y369" s="43"/>
      <c r="Z369" s="43"/>
      <c r="AA369" s="43"/>
      <c r="AB369" s="43"/>
      <c r="AC369" s="43"/>
      <c r="AD369" s="43"/>
    </row>
    <row r="370">
      <c r="A370" s="43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4"/>
      <c r="P370" s="62"/>
      <c r="Q370" s="62"/>
      <c r="R370" s="62"/>
      <c r="S370" s="62"/>
      <c r="T370" s="62"/>
      <c r="U370" s="62"/>
      <c r="V370" s="62"/>
      <c r="W370" s="62"/>
      <c r="X370" s="62"/>
      <c r="Y370" s="43"/>
      <c r="Z370" s="43"/>
      <c r="AA370" s="43"/>
      <c r="AB370" s="43"/>
      <c r="AC370" s="43"/>
      <c r="AD370" s="43"/>
    </row>
    <row r="371">
      <c r="A371" s="43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4"/>
      <c r="P371" s="62"/>
      <c r="Q371" s="62"/>
      <c r="R371" s="62"/>
      <c r="S371" s="62"/>
      <c r="T371" s="62"/>
      <c r="U371" s="62"/>
      <c r="V371" s="62"/>
      <c r="W371" s="62"/>
      <c r="X371" s="62"/>
      <c r="Y371" s="43"/>
      <c r="Z371" s="43"/>
      <c r="AA371" s="43"/>
      <c r="AB371" s="43"/>
      <c r="AC371" s="43"/>
      <c r="AD371" s="43"/>
    </row>
    <row r="372">
      <c r="A372" s="43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4"/>
      <c r="P372" s="62"/>
      <c r="Q372" s="62"/>
      <c r="R372" s="62"/>
      <c r="S372" s="62"/>
      <c r="T372" s="62"/>
      <c r="U372" s="62"/>
      <c r="V372" s="62"/>
      <c r="W372" s="62"/>
      <c r="X372" s="62"/>
      <c r="Y372" s="43"/>
      <c r="Z372" s="43"/>
      <c r="AA372" s="43"/>
      <c r="AB372" s="43"/>
      <c r="AC372" s="43"/>
      <c r="AD372" s="43"/>
    </row>
    <row r="373">
      <c r="A373" s="43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4"/>
      <c r="P373" s="62"/>
      <c r="Q373" s="62"/>
      <c r="R373" s="62"/>
      <c r="S373" s="62"/>
      <c r="T373" s="62"/>
      <c r="U373" s="62"/>
      <c r="V373" s="62"/>
      <c r="W373" s="62"/>
      <c r="X373" s="62"/>
      <c r="Y373" s="43"/>
      <c r="Z373" s="43"/>
      <c r="AA373" s="43"/>
      <c r="AB373" s="43"/>
      <c r="AC373" s="43"/>
      <c r="AD373" s="43"/>
    </row>
    <row r="374">
      <c r="A374" s="43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4"/>
      <c r="P374" s="62"/>
      <c r="Q374" s="62"/>
      <c r="R374" s="62"/>
      <c r="S374" s="62"/>
      <c r="T374" s="62"/>
      <c r="U374" s="62"/>
      <c r="V374" s="62"/>
      <c r="W374" s="62"/>
      <c r="X374" s="62"/>
      <c r="Y374" s="43"/>
      <c r="Z374" s="43"/>
      <c r="AA374" s="43"/>
      <c r="AB374" s="43"/>
      <c r="AC374" s="43"/>
      <c r="AD374" s="43"/>
    </row>
    <row r="375">
      <c r="A375" s="43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4"/>
      <c r="P375" s="62"/>
      <c r="Q375" s="62"/>
      <c r="R375" s="62"/>
      <c r="S375" s="62"/>
      <c r="T375" s="62"/>
      <c r="U375" s="62"/>
      <c r="V375" s="62"/>
      <c r="W375" s="62"/>
      <c r="X375" s="62"/>
      <c r="Y375" s="43"/>
      <c r="Z375" s="43"/>
      <c r="AA375" s="43"/>
      <c r="AB375" s="43"/>
      <c r="AC375" s="43"/>
      <c r="AD375" s="43"/>
    </row>
    <row r="376">
      <c r="A376" s="43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4"/>
      <c r="P376" s="62"/>
      <c r="Q376" s="62"/>
      <c r="R376" s="62"/>
      <c r="S376" s="62"/>
      <c r="T376" s="62"/>
      <c r="U376" s="62"/>
      <c r="V376" s="62"/>
      <c r="W376" s="62"/>
      <c r="X376" s="62"/>
      <c r="Y376" s="43"/>
      <c r="Z376" s="43"/>
      <c r="AA376" s="43"/>
      <c r="AB376" s="43"/>
      <c r="AC376" s="43"/>
      <c r="AD376" s="43"/>
    </row>
    <row r="377">
      <c r="A377" s="43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4"/>
      <c r="P377" s="62"/>
      <c r="Q377" s="62"/>
      <c r="R377" s="62"/>
      <c r="S377" s="62"/>
      <c r="T377" s="62"/>
      <c r="U377" s="62"/>
      <c r="V377" s="62"/>
      <c r="W377" s="62"/>
      <c r="X377" s="62"/>
      <c r="Y377" s="43"/>
      <c r="Z377" s="43"/>
      <c r="AA377" s="43"/>
      <c r="AB377" s="43"/>
      <c r="AC377" s="43"/>
      <c r="AD377" s="43"/>
    </row>
    <row r="378">
      <c r="A378" s="43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4"/>
      <c r="P378" s="62"/>
      <c r="Q378" s="62"/>
      <c r="R378" s="62"/>
      <c r="S378" s="62"/>
      <c r="T378" s="62"/>
      <c r="U378" s="62"/>
      <c r="V378" s="62"/>
      <c r="W378" s="62"/>
      <c r="X378" s="62"/>
      <c r="Y378" s="43"/>
      <c r="Z378" s="43"/>
      <c r="AA378" s="43"/>
      <c r="AB378" s="43"/>
      <c r="AC378" s="43"/>
      <c r="AD378" s="43"/>
    </row>
    <row r="379">
      <c r="A379" s="43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4"/>
      <c r="P379" s="62"/>
      <c r="Q379" s="62"/>
      <c r="R379" s="62"/>
      <c r="S379" s="62"/>
      <c r="T379" s="62"/>
      <c r="U379" s="62"/>
      <c r="V379" s="62"/>
      <c r="W379" s="62"/>
      <c r="X379" s="62"/>
      <c r="Y379" s="43"/>
      <c r="Z379" s="43"/>
      <c r="AA379" s="43"/>
      <c r="AB379" s="43"/>
      <c r="AC379" s="43"/>
      <c r="AD379" s="43"/>
    </row>
    <row r="380">
      <c r="A380" s="43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4"/>
      <c r="P380" s="62"/>
      <c r="Q380" s="62"/>
      <c r="R380" s="62"/>
      <c r="S380" s="62"/>
      <c r="T380" s="62"/>
      <c r="U380" s="62"/>
      <c r="V380" s="62"/>
      <c r="W380" s="62"/>
      <c r="X380" s="62"/>
      <c r="Y380" s="43"/>
      <c r="Z380" s="43"/>
      <c r="AA380" s="43"/>
      <c r="AB380" s="43"/>
      <c r="AC380" s="43"/>
      <c r="AD380" s="43"/>
    </row>
    <row r="381">
      <c r="A381" s="43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4"/>
      <c r="P381" s="62"/>
      <c r="Q381" s="62"/>
      <c r="R381" s="62"/>
      <c r="S381" s="62"/>
      <c r="T381" s="62"/>
      <c r="U381" s="62"/>
      <c r="V381" s="62"/>
      <c r="W381" s="62"/>
      <c r="X381" s="62"/>
      <c r="Y381" s="43"/>
      <c r="Z381" s="43"/>
      <c r="AA381" s="43"/>
      <c r="AB381" s="43"/>
      <c r="AC381" s="43"/>
      <c r="AD381" s="43"/>
    </row>
    <row r="382">
      <c r="A382" s="43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4"/>
      <c r="P382" s="62"/>
      <c r="Q382" s="62"/>
      <c r="R382" s="62"/>
      <c r="S382" s="62"/>
      <c r="T382" s="62"/>
      <c r="U382" s="62"/>
      <c r="V382" s="62"/>
      <c r="W382" s="62"/>
      <c r="X382" s="62"/>
      <c r="Y382" s="43"/>
      <c r="Z382" s="43"/>
      <c r="AA382" s="43"/>
      <c r="AB382" s="43"/>
      <c r="AC382" s="43"/>
      <c r="AD382" s="43"/>
    </row>
    <row r="383">
      <c r="A383" s="43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4"/>
      <c r="P383" s="62"/>
      <c r="Q383" s="62"/>
      <c r="R383" s="62"/>
      <c r="S383" s="62"/>
      <c r="T383" s="62"/>
      <c r="U383" s="62"/>
      <c r="V383" s="62"/>
      <c r="W383" s="62"/>
      <c r="X383" s="62"/>
      <c r="Y383" s="43"/>
      <c r="Z383" s="43"/>
      <c r="AA383" s="43"/>
      <c r="AB383" s="43"/>
      <c r="AC383" s="43"/>
      <c r="AD383" s="43"/>
    </row>
    <row r="384">
      <c r="A384" s="43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4"/>
      <c r="P384" s="62"/>
      <c r="Q384" s="62"/>
      <c r="R384" s="62"/>
      <c r="S384" s="62"/>
      <c r="T384" s="62"/>
      <c r="U384" s="62"/>
      <c r="V384" s="62"/>
      <c r="W384" s="62"/>
      <c r="X384" s="62"/>
      <c r="Y384" s="43"/>
      <c r="Z384" s="43"/>
      <c r="AA384" s="43"/>
      <c r="AB384" s="43"/>
      <c r="AC384" s="43"/>
      <c r="AD384" s="43"/>
    </row>
    <row r="385">
      <c r="A385" s="43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4"/>
      <c r="P385" s="62"/>
      <c r="Q385" s="62"/>
      <c r="R385" s="62"/>
      <c r="S385" s="62"/>
      <c r="T385" s="62"/>
      <c r="U385" s="62"/>
      <c r="V385" s="62"/>
      <c r="W385" s="62"/>
      <c r="X385" s="62"/>
      <c r="Y385" s="43"/>
      <c r="Z385" s="43"/>
      <c r="AA385" s="43"/>
      <c r="AB385" s="43"/>
      <c r="AC385" s="43"/>
      <c r="AD385" s="43"/>
    </row>
    <row r="386">
      <c r="A386" s="43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4"/>
      <c r="P386" s="62"/>
      <c r="Q386" s="62"/>
      <c r="R386" s="62"/>
      <c r="S386" s="62"/>
      <c r="T386" s="62"/>
      <c r="U386" s="62"/>
      <c r="V386" s="62"/>
      <c r="W386" s="62"/>
      <c r="X386" s="62"/>
      <c r="Y386" s="43"/>
      <c r="Z386" s="43"/>
      <c r="AA386" s="43"/>
      <c r="AB386" s="43"/>
      <c r="AC386" s="43"/>
      <c r="AD386" s="43"/>
    </row>
    <row r="387">
      <c r="A387" s="43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4"/>
      <c r="P387" s="62"/>
      <c r="Q387" s="62"/>
      <c r="R387" s="62"/>
      <c r="S387" s="62"/>
      <c r="T387" s="62"/>
      <c r="U387" s="62"/>
      <c r="V387" s="62"/>
      <c r="W387" s="62"/>
      <c r="X387" s="62"/>
      <c r="Y387" s="43"/>
      <c r="Z387" s="43"/>
      <c r="AA387" s="43"/>
      <c r="AB387" s="43"/>
      <c r="AC387" s="43"/>
      <c r="AD387" s="43"/>
    </row>
    <row r="388">
      <c r="A388" s="43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4"/>
      <c r="P388" s="62"/>
      <c r="Q388" s="62"/>
      <c r="R388" s="62"/>
      <c r="S388" s="62"/>
      <c r="T388" s="62"/>
      <c r="U388" s="62"/>
      <c r="V388" s="62"/>
      <c r="W388" s="62"/>
      <c r="X388" s="62"/>
      <c r="Y388" s="43"/>
      <c r="Z388" s="43"/>
      <c r="AA388" s="43"/>
      <c r="AB388" s="43"/>
      <c r="AC388" s="43"/>
      <c r="AD388" s="43"/>
    </row>
    <row r="389">
      <c r="A389" s="43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4"/>
      <c r="P389" s="62"/>
      <c r="Q389" s="62"/>
      <c r="R389" s="62"/>
      <c r="S389" s="62"/>
      <c r="T389" s="62"/>
      <c r="U389" s="62"/>
      <c r="V389" s="62"/>
      <c r="W389" s="62"/>
      <c r="X389" s="62"/>
      <c r="Y389" s="43"/>
      <c r="Z389" s="43"/>
      <c r="AA389" s="43"/>
      <c r="AB389" s="43"/>
      <c r="AC389" s="43"/>
      <c r="AD389" s="43"/>
    </row>
    <row r="390">
      <c r="A390" s="43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4"/>
      <c r="P390" s="62"/>
      <c r="Q390" s="62"/>
      <c r="R390" s="62"/>
      <c r="S390" s="62"/>
      <c r="T390" s="62"/>
      <c r="U390" s="62"/>
      <c r="V390" s="62"/>
      <c r="W390" s="62"/>
      <c r="X390" s="62"/>
      <c r="Y390" s="43"/>
      <c r="Z390" s="43"/>
      <c r="AA390" s="43"/>
      <c r="AB390" s="43"/>
      <c r="AC390" s="43"/>
      <c r="AD390" s="43"/>
    </row>
    <row r="391">
      <c r="A391" s="43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4"/>
      <c r="P391" s="62"/>
      <c r="Q391" s="62"/>
      <c r="R391" s="62"/>
      <c r="S391" s="62"/>
      <c r="T391" s="62"/>
      <c r="U391" s="62"/>
      <c r="V391" s="62"/>
      <c r="W391" s="62"/>
      <c r="X391" s="62"/>
      <c r="Y391" s="43"/>
      <c r="Z391" s="43"/>
      <c r="AA391" s="43"/>
      <c r="AB391" s="43"/>
      <c r="AC391" s="43"/>
      <c r="AD391" s="43"/>
    </row>
    <row r="392">
      <c r="A392" s="43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4"/>
      <c r="P392" s="62"/>
      <c r="Q392" s="62"/>
      <c r="R392" s="62"/>
      <c r="S392" s="62"/>
      <c r="T392" s="62"/>
      <c r="U392" s="62"/>
      <c r="V392" s="62"/>
      <c r="W392" s="62"/>
      <c r="X392" s="62"/>
      <c r="Y392" s="43"/>
      <c r="Z392" s="43"/>
      <c r="AA392" s="43"/>
      <c r="AB392" s="43"/>
      <c r="AC392" s="43"/>
      <c r="AD392" s="43"/>
    </row>
    <row r="393">
      <c r="A393" s="43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4"/>
      <c r="P393" s="62"/>
      <c r="Q393" s="62"/>
      <c r="R393" s="62"/>
      <c r="S393" s="62"/>
      <c r="T393" s="62"/>
      <c r="U393" s="62"/>
      <c r="V393" s="62"/>
      <c r="W393" s="62"/>
      <c r="X393" s="62"/>
      <c r="Y393" s="43"/>
      <c r="Z393" s="43"/>
      <c r="AA393" s="43"/>
      <c r="AB393" s="43"/>
      <c r="AC393" s="43"/>
      <c r="AD393" s="43"/>
    </row>
    <row r="394">
      <c r="A394" s="43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4"/>
      <c r="P394" s="62"/>
      <c r="Q394" s="62"/>
      <c r="R394" s="62"/>
      <c r="S394" s="62"/>
      <c r="T394" s="62"/>
      <c r="U394" s="62"/>
      <c r="V394" s="62"/>
      <c r="W394" s="62"/>
      <c r="X394" s="62"/>
      <c r="Y394" s="43"/>
      <c r="Z394" s="43"/>
      <c r="AA394" s="43"/>
      <c r="AB394" s="43"/>
      <c r="AC394" s="43"/>
      <c r="AD394" s="43"/>
    </row>
    <row r="395">
      <c r="A395" s="43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4"/>
      <c r="P395" s="62"/>
      <c r="Q395" s="62"/>
      <c r="R395" s="62"/>
      <c r="S395" s="62"/>
      <c r="T395" s="62"/>
      <c r="U395" s="62"/>
      <c r="V395" s="62"/>
      <c r="W395" s="62"/>
      <c r="X395" s="62"/>
      <c r="Y395" s="43"/>
      <c r="Z395" s="43"/>
      <c r="AA395" s="43"/>
      <c r="AB395" s="43"/>
      <c r="AC395" s="43"/>
      <c r="AD395" s="43"/>
    </row>
    <row r="396">
      <c r="A396" s="43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4"/>
      <c r="P396" s="62"/>
      <c r="Q396" s="62"/>
      <c r="R396" s="62"/>
      <c r="S396" s="62"/>
      <c r="T396" s="62"/>
      <c r="U396" s="62"/>
      <c r="V396" s="62"/>
      <c r="W396" s="62"/>
      <c r="X396" s="62"/>
      <c r="Y396" s="43"/>
      <c r="Z396" s="43"/>
      <c r="AA396" s="43"/>
      <c r="AB396" s="43"/>
      <c r="AC396" s="43"/>
      <c r="AD396" s="43"/>
    </row>
    <row r="397">
      <c r="A397" s="43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4"/>
      <c r="P397" s="62"/>
      <c r="Q397" s="62"/>
      <c r="R397" s="62"/>
      <c r="S397" s="62"/>
      <c r="T397" s="62"/>
      <c r="U397" s="62"/>
      <c r="V397" s="62"/>
      <c r="W397" s="62"/>
      <c r="X397" s="62"/>
      <c r="Y397" s="43"/>
      <c r="Z397" s="43"/>
      <c r="AA397" s="43"/>
      <c r="AB397" s="43"/>
      <c r="AC397" s="43"/>
      <c r="AD397" s="43"/>
    </row>
    <row r="398">
      <c r="A398" s="43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4"/>
      <c r="P398" s="62"/>
      <c r="Q398" s="62"/>
      <c r="R398" s="62"/>
      <c r="S398" s="62"/>
      <c r="T398" s="62"/>
      <c r="U398" s="62"/>
      <c r="V398" s="62"/>
      <c r="W398" s="62"/>
      <c r="X398" s="62"/>
      <c r="Y398" s="43"/>
      <c r="Z398" s="43"/>
      <c r="AA398" s="43"/>
      <c r="AB398" s="43"/>
      <c r="AC398" s="43"/>
      <c r="AD398" s="43"/>
    </row>
    <row r="399">
      <c r="A399" s="43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4"/>
      <c r="P399" s="62"/>
      <c r="Q399" s="62"/>
      <c r="R399" s="62"/>
      <c r="S399" s="62"/>
      <c r="T399" s="62"/>
      <c r="U399" s="62"/>
      <c r="V399" s="62"/>
      <c r="W399" s="62"/>
      <c r="X399" s="62"/>
      <c r="Y399" s="43"/>
      <c r="Z399" s="43"/>
      <c r="AA399" s="43"/>
      <c r="AB399" s="43"/>
      <c r="AC399" s="43"/>
      <c r="AD399" s="43"/>
    </row>
    <row r="400">
      <c r="A400" s="43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4"/>
      <c r="P400" s="62"/>
      <c r="Q400" s="62"/>
      <c r="R400" s="62"/>
      <c r="S400" s="62"/>
      <c r="T400" s="62"/>
      <c r="U400" s="62"/>
      <c r="V400" s="62"/>
      <c r="W400" s="62"/>
      <c r="X400" s="62"/>
      <c r="Y400" s="43"/>
      <c r="Z400" s="43"/>
      <c r="AA400" s="43"/>
      <c r="AB400" s="43"/>
      <c r="AC400" s="43"/>
      <c r="AD400" s="43"/>
    </row>
    <row r="401">
      <c r="A401" s="43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4"/>
      <c r="P401" s="62"/>
      <c r="Q401" s="62"/>
      <c r="R401" s="62"/>
      <c r="S401" s="62"/>
      <c r="T401" s="62"/>
      <c r="U401" s="62"/>
      <c r="V401" s="62"/>
      <c r="W401" s="62"/>
      <c r="X401" s="62"/>
      <c r="Y401" s="43"/>
      <c r="Z401" s="43"/>
      <c r="AA401" s="43"/>
      <c r="AB401" s="43"/>
      <c r="AC401" s="43"/>
      <c r="AD401" s="43"/>
    </row>
    <row r="402">
      <c r="A402" s="43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4"/>
      <c r="P402" s="62"/>
      <c r="Q402" s="62"/>
      <c r="R402" s="62"/>
      <c r="S402" s="62"/>
      <c r="T402" s="62"/>
      <c r="U402" s="62"/>
      <c r="V402" s="62"/>
      <c r="W402" s="62"/>
      <c r="X402" s="62"/>
      <c r="Y402" s="43"/>
      <c r="Z402" s="43"/>
      <c r="AA402" s="43"/>
      <c r="AB402" s="43"/>
      <c r="AC402" s="43"/>
      <c r="AD402" s="43"/>
    </row>
    <row r="403">
      <c r="A403" s="43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4"/>
      <c r="P403" s="62"/>
      <c r="Q403" s="62"/>
      <c r="R403" s="62"/>
      <c r="S403" s="62"/>
      <c r="T403" s="62"/>
      <c r="U403" s="62"/>
      <c r="V403" s="62"/>
      <c r="W403" s="62"/>
      <c r="X403" s="62"/>
      <c r="Y403" s="43"/>
      <c r="Z403" s="43"/>
      <c r="AA403" s="43"/>
      <c r="AB403" s="43"/>
      <c r="AC403" s="43"/>
      <c r="AD403" s="43"/>
    </row>
    <row r="404">
      <c r="A404" s="43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4"/>
      <c r="P404" s="62"/>
      <c r="Q404" s="62"/>
      <c r="R404" s="62"/>
      <c r="S404" s="62"/>
      <c r="T404" s="62"/>
      <c r="U404" s="62"/>
      <c r="V404" s="62"/>
      <c r="W404" s="62"/>
      <c r="X404" s="62"/>
      <c r="Y404" s="43"/>
      <c r="Z404" s="43"/>
      <c r="AA404" s="43"/>
      <c r="AB404" s="43"/>
      <c r="AC404" s="43"/>
      <c r="AD404" s="43"/>
    </row>
    <row r="405">
      <c r="A405" s="43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4"/>
      <c r="P405" s="62"/>
      <c r="Q405" s="62"/>
      <c r="R405" s="62"/>
      <c r="S405" s="62"/>
      <c r="T405" s="62"/>
      <c r="U405" s="62"/>
      <c r="V405" s="62"/>
      <c r="W405" s="62"/>
      <c r="X405" s="62"/>
      <c r="Y405" s="43"/>
      <c r="Z405" s="43"/>
      <c r="AA405" s="43"/>
      <c r="AB405" s="43"/>
      <c r="AC405" s="43"/>
      <c r="AD405" s="43"/>
    </row>
    <row r="406">
      <c r="A406" s="43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4"/>
      <c r="P406" s="62"/>
      <c r="Q406" s="62"/>
      <c r="R406" s="62"/>
      <c r="S406" s="62"/>
      <c r="T406" s="62"/>
      <c r="U406" s="62"/>
      <c r="V406" s="62"/>
      <c r="W406" s="62"/>
      <c r="X406" s="62"/>
      <c r="Y406" s="43"/>
      <c r="Z406" s="43"/>
      <c r="AA406" s="43"/>
      <c r="AB406" s="43"/>
      <c r="AC406" s="43"/>
      <c r="AD406" s="43"/>
    </row>
    <row r="407">
      <c r="A407" s="43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4"/>
      <c r="P407" s="62"/>
      <c r="Q407" s="62"/>
      <c r="R407" s="62"/>
      <c r="S407" s="62"/>
      <c r="T407" s="62"/>
      <c r="U407" s="62"/>
      <c r="V407" s="62"/>
      <c r="W407" s="62"/>
      <c r="X407" s="62"/>
      <c r="Y407" s="43"/>
      <c r="Z407" s="43"/>
      <c r="AA407" s="43"/>
      <c r="AB407" s="43"/>
      <c r="AC407" s="43"/>
      <c r="AD407" s="43"/>
    </row>
    <row r="408">
      <c r="A408" s="43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4"/>
      <c r="P408" s="62"/>
      <c r="Q408" s="62"/>
      <c r="R408" s="62"/>
      <c r="S408" s="62"/>
      <c r="T408" s="62"/>
      <c r="U408" s="62"/>
      <c r="V408" s="62"/>
      <c r="W408" s="62"/>
      <c r="X408" s="62"/>
      <c r="Y408" s="43"/>
      <c r="Z408" s="43"/>
      <c r="AA408" s="43"/>
      <c r="AB408" s="43"/>
      <c r="AC408" s="43"/>
      <c r="AD408" s="43"/>
    </row>
    <row r="409">
      <c r="A409" s="43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4"/>
      <c r="P409" s="62"/>
      <c r="Q409" s="62"/>
      <c r="R409" s="62"/>
      <c r="S409" s="62"/>
      <c r="T409" s="62"/>
      <c r="U409" s="62"/>
      <c r="V409" s="62"/>
      <c r="W409" s="62"/>
      <c r="X409" s="62"/>
      <c r="Y409" s="43"/>
      <c r="Z409" s="43"/>
      <c r="AA409" s="43"/>
      <c r="AB409" s="43"/>
      <c r="AC409" s="43"/>
      <c r="AD409" s="43"/>
    </row>
    <row r="410">
      <c r="A410" s="43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4"/>
      <c r="P410" s="62"/>
      <c r="Q410" s="62"/>
      <c r="R410" s="62"/>
      <c r="S410" s="62"/>
      <c r="T410" s="62"/>
      <c r="U410" s="62"/>
      <c r="V410" s="62"/>
      <c r="W410" s="62"/>
      <c r="X410" s="62"/>
      <c r="Y410" s="43"/>
      <c r="Z410" s="43"/>
      <c r="AA410" s="43"/>
      <c r="AB410" s="43"/>
      <c r="AC410" s="43"/>
      <c r="AD410" s="43"/>
    </row>
    <row r="411">
      <c r="A411" s="43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4"/>
      <c r="P411" s="62"/>
      <c r="Q411" s="62"/>
      <c r="R411" s="62"/>
      <c r="S411" s="62"/>
      <c r="T411" s="62"/>
      <c r="U411" s="62"/>
      <c r="V411" s="62"/>
      <c r="W411" s="62"/>
      <c r="X411" s="62"/>
      <c r="Y411" s="43"/>
      <c r="Z411" s="43"/>
      <c r="AA411" s="43"/>
      <c r="AB411" s="43"/>
      <c r="AC411" s="43"/>
      <c r="AD411" s="43"/>
    </row>
    <row r="412">
      <c r="A412" s="43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4"/>
      <c r="P412" s="62"/>
      <c r="Q412" s="62"/>
      <c r="R412" s="62"/>
      <c r="S412" s="62"/>
      <c r="T412" s="62"/>
      <c r="U412" s="62"/>
      <c r="V412" s="62"/>
      <c r="W412" s="62"/>
      <c r="X412" s="62"/>
      <c r="Y412" s="43"/>
      <c r="Z412" s="43"/>
      <c r="AA412" s="43"/>
      <c r="AB412" s="43"/>
      <c r="AC412" s="43"/>
      <c r="AD412" s="43"/>
    </row>
    <row r="413">
      <c r="A413" s="43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4"/>
      <c r="P413" s="62"/>
      <c r="Q413" s="62"/>
      <c r="R413" s="62"/>
      <c r="S413" s="62"/>
      <c r="T413" s="62"/>
      <c r="U413" s="62"/>
      <c r="V413" s="62"/>
      <c r="W413" s="62"/>
      <c r="X413" s="62"/>
      <c r="Y413" s="43"/>
      <c r="Z413" s="43"/>
      <c r="AA413" s="43"/>
      <c r="AB413" s="43"/>
      <c r="AC413" s="43"/>
      <c r="AD413" s="43"/>
    </row>
    <row r="414">
      <c r="A414" s="43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4"/>
      <c r="P414" s="62"/>
      <c r="Q414" s="62"/>
      <c r="R414" s="62"/>
      <c r="S414" s="62"/>
      <c r="T414" s="62"/>
      <c r="U414" s="62"/>
      <c r="V414" s="62"/>
      <c r="W414" s="62"/>
      <c r="X414" s="62"/>
      <c r="Y414" s="43"/>
      <c r="Z414" s="43"/>
      <c r="AA414" s="43"/>
      <c r="AB414" s="43"/>
      <c r="AC414" s="43"/>
      <c r="AD414" s="43"/>
    </row>
    <row r="415">
      <c r="A415" s="43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4"/>
      <c r="P415" s="62"/>
      <c r="Q415" s="62"/>
      <c r="R415" s="62"/>
      <c r="S415" s="62"/>
      <c r="T415" s="62"/>
      <c r="U415" s="62"/>
      <c r="V415" s="62"/>
      <c r="W415" s="62"/>
      <c r="X415" s="62"/>
      <c r="Y415" s="43"/>
      <c r="Z415" s="43"/>
      <c r="AA415" s="43"/>
      <c r="AB415" s="43"/>
      <c r="AC415" s="43"/>
      <c r="AD415" s="43"/>
    </row>
    <row r="416">
      <c r="A416" s="43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4"/>
      <c r="P416" s="62"/>
      <c r="Q416" s="62"/>
      <c r="R416" s="62"/>
      <c r="S416" s="62"/>
      <c r="T416" s="62"/>
      <c r="U416" s="62"/>
      <c r="V416" s="62"/>
      <c r="W416" s="62"/>
      <c r="X416" s="62"/>
      <c r="Y416" s="43"/>
      <c r="Z416" s="43"/>
      <c r="AA416" s="43"/>
      <c r="AB416" s="43"/>
      <c r="AC416" s="43"/>
      <c r="AD416" s="43"/>
    </row>
    <row r="417">
      <c r="A417" s="43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4"/>
      <c r="P417" s="62"/>
      <c r="Q417" s="62"/>
      <c r="R417" s="62"/>
      <c r="S417" s="62"/>
      <c r="T417" s="62"/>
      <c r="U417" s="62"/>
      <c r="V417" s="62"/>
      <c r="W417" s="62"/>
      <c r="X417" s="62"/>
      <c r="Y417" s="43"/>
      <c r="Z417" s="43"/>
      <c r="AA417" s="43"/>
      <c r="AB417" s="43"/>
      <c r="AC417" s="43"/>
      <c r="AD417" s="43"/>
    </row>
    <row r="418">
      <c r="A418" s="43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4"/>
      <c r="P418" s="62"/>
      <c r="Q418" s="62"/>
      <c r="R418" s="62"/>
      <c r="S418" s="62"/>
      <c r="T418" s="62"/>
      <c r="U418" s="62"/>
      <c r="V418" s="62"/>
      <c r="W418" s="62"/>
      <c r="X418" s="62"/>
      <c r="Y418" s="43"/>
      <c r="Z418" s="43"/>
      <c r="AA418" s="43"/>
      <c r="AB418" s="43"/>
      <c r="AC418" s="43"/>
      <c r="AD418" s="43"/>
    </row>
    <row r="419">
      <c r="A419" s="43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4"/>
      <c r="P419" s="62"/>
      <c r="Q419" s="62"/>
      <c r="R419" s="62"/>
      <c r="S419" s="62"/>
      <c r="T419" s="62"/>
      <c r="U419" s="62"/>
      <c r="V419" s="62"/>
      <c r="W419" s="62"/>
      <c r="X419" s="62"/>
      <c r="Y419" s="43"/>
      <c r="Z419" s="43"/>
      <c r="AA419" s="43"/>
      <c r="AB419" s="43"/>
      <c r="AC419" s="43"/>
      <c r="AD419" s="43"/>
    </row>
    <row r="420">
      <c r="A420" s="43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4"/>
      <c r="P420" s="62"/>
      <c r="Q420" s="62"/>
      <c r="R420" s="62"/>
      <c r="S420" s="62"/>
      <c r="T420" s="62"/>
      <c r="U420" s="62"/>
      <c r="V420" s="62"/>
      <c r="W420" s="62"/>
      <c r="X420" s="62"/>
      <c r="Y420" s="43"/>
      <c r="Z420" s="43"/>
      <c r="AA420" s="43"/>
      <c r="AB420" s="43"/>
      <c r="AC420" s="43"/>
      <c r="AD420" s="43"/>
    </row>
    <row r="421">
      <c r="A421" s="43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4"/>
      <c r="P421" s="62"/>
      <c r="Q421" s="62"/>
      <c r="R421" s="62"/>
      <c r="S421" s="62"/>
      <c r="T421" s="62"/>
      <c r="U421" s="62"/>
      <c r="V421" s="62"/>
      <c r="W421" s="62"/>
      <c r="X421" s="62"/>
      <c r="Y421" s="43"/>
      <c r="Z421" s="43"/>
      <c r="AA421" s="43"/>
      <c r="AB421" s="43"/>
      <c r="AC421" s="43"/>
      <c r="AD421" s="43"/>
    </row>
    <row r="422">
      <c r="A422" s="43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4"/>
      <c r="P422" s="62"/>
      <c r="Q422" s="62"/>
      <c r="R422" s="62"/>
      <c r="S422" s="62"/>
      <c r="T422" s="62"/>
      <c r="U422" s="62"/>
      <c r="V422" s="62"/>
      <c r="W422" s="62"/>
      <c r="X422" s="62"/>
      <c r="Y422" s="43"/>
      <c r="Z422" s="43"/>
      <c r="AA422" s="43"/>
      <c r="AB422" s="43"/>
      <c r="AC422" s="43"/>
      <c r="AD422" s="43"/>
    </row>
    <row r="423">
      <c r="A423" s="43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4"/>
      <c r="P423" s="62"/>
      <c r="Q423" s="62"/>
      <c r="R423" s="62"/>
      <c r="S423" s="62"/>
      <c r="T423" s="62"/>
      <c r="U423" s="62"/>
      <c r="V423" s="62"/>
      <c r="W423" s="62"/>
      <c r="X423" s="62"/>
      <c r="Y423" s="43"/>
      <c r="Z423" s="43"/>
      <c r="AA423" s="43"/>
      <c r="AB423" s="43"/>
      <c r="AC423" s="43"/>
      <c r="AD423" s="43"/>
    </row>
    <row r="424">
      <c r="A424" s="43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4"/>
      <c r="P424" s="62"/>
      <c r="Q424" s="62"/>
      <c r="R424" s="62"/>
      <c r="S424" s="62"/>
      <c r="T424" s="62"/>
      <c r="U424" s="62"/>
      <c r="V424" s="62"/>
      <c r="W424" s="62"/>
      <c r="X424" s="62"/>
      <c r="Y424" s="43"/>
      <c r="Z424" s="43"/>
      <c r="AA424" s="43"/>
      <c r="AB424" s="43"/>
      <c r="AC424" s="43"/>
      <c r="AD424" s="43"/>
    </row>
    <row r="425">
      <c r="A425" s="43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4"/>
      <c r="P425" s="62"/>
      <c r="Q425" s="62"/>
      <c r="R425" s="62"/>
      <c r="S425" s="62"/>
      <c r="T425" s="62"/>
      <c r="U425" s="62"/>
      <c r="V425" s="62"/>
      <c r="W425" s="62"/>
      <c r="X425" s="62"/>
      <c r="Y425" s="43"/>
      <c r="Z425" s="43"/>
      <c r="AA425" s="43"/>
      <c r="AB425" s="43"/>
      <c r="AC425" s="43"/>
      <c r="AD425" s="43"/>
    </row>
    <row r="426">
      <c r="A426" s="43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4"/>
      <c r="P426" s="62"/>
      <c r="Q426" s="62"/>
      <c r="R426" s="62"/>
      <c r="S426" s="62"/>
      <c r="T426" s="62"/>
      <c r="U426" s="62"/>
      <c r="V426" s="62"/>
      <c r="W426" s="62"/>
      <c r="X426" s="62"/>
      <c r="Y426" s="43"/>
      <c r="Z426" s="43"/>
      <c r="AA426" s="43"/>
      <c r="AB426" s="43"/>
      <c r="AC426" s="43"/>
      <c r="AD426" s="43"/>
    </row>
    <row r="427">
      <c r="A427" s="43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4"/>
      <c r="P427" s="62"/>
      <c r="Q427" s="62"/>
      <c r="R427" s="62"/>
      <c r="S427" s="62"/>
      <c r="T427" s="62"/>
      <c r="U427" s="62"/>
      <c r="V427" s="62"/>
      <c r="W427" s="62"/>
      <c r="X427" s="62"/>
      <c r="Y427" s="43"/>
      <c r="Z427" s="43"/>
      <c r="AA427" s="43"/>
      <c r="AB427" s="43"/>
      <c r="AC427" s="43"/>
      <c r="AD427" s="43"/>
    </row>
    <row r="428">
      <c r="A428" s="43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4"/>
      <c r="P428" s="62"/>
      <c r="Q428" s="62"/>
      <c r="R428" s="62"/>
      <c r="S428" s="62"/>
      <c r="T428" s="62"/>
      <c r="U428" s="62"/>
      <c r="V428" s="62"/>
      <c r="W428" s="62"/>
      <c r="X428" s="62"/>
      <c r="Y428" s="43"/>
      <c r="Z428" s="43"/>
      <c r="AA428" s="43"/>
      <c r="AB428" s="43"/>
      <c r="AC428" s="43"/>
      <c r="AD428" s="43"/>
    </row>
    <row r="429">
      <c r="A429" s="43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4"/>
      <c r="P429" s="62"/>
      <c r="Q429" s="62"/>
      <c r="R429" s="62"/>
      <c r="S429" s="62"/>
      <c r="T429" s="62"/>
      <c r="U429" s="62"/>
      <c r="V429" s="62"/>
      <c r="W429" s="62"/>
      <c r="X429" s="62"/>
      <c r="Y429" s="43"/>
      <c r="Z429" s="43"/>
      <c r="AA429" s="43"/>
      <c r="AB429" s="43"/>
      <c r="AC429" s="43"/>
      <c r="AD429" s="43"/>
    </row>
    <row r="430">
      <c r="A430" s="43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4"/>
      <c r="P430" s="62"/>
      <c r="Q430" s="62"/>
      <c r="R430" s="62"/>
      <c r="S430" s="62"/>
      <c r="T430" s="62"/>
      <c r="U430" s="62"/>
      <c r="V430" s="62"/>
      <c r="W430" s="62"/>
      <c r="X430" s="62"/>
      <c r="Y430" s="43"/>
      <c r="Z430" s="43"/>
      <c r="AA430" s="43"/>
      <c r="AB430" s="43"/>
      <c r="AC430" s="43"/>
      <c r="AD430" s="43"/>
    </row>
    <row r="431">
      <c r="A431" s="43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4"/>
      <c r="P431" s="62"/>
      <c r="Q431" s="62"/>
      <c r="R431" s="62"/>
      <c r="S431" s="62"/>
      <c r="T431" s="62"/>
      <c r="U431" s="62"/>
      <c r="V431" s="62"/>
      <c r="W431" s="62"/>
      <c r="X431" s="62"/>
      <c r="Y431" s="43"/>
      <c r="Z431" s="43"/>
      <c r="AA431" s="43"/>
      <c r="AB431" s="43"/>
      <c r="AC431" s="43"/>
      <c r="AD431" s="43"/>
    </row>
    <row r="432">
      <c r="A432" s="43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4"/>
      <c r="P432" s="62"/>
      <c r="Q432" s="62"/>
      <c r="R432" s="62"/>
      <c r="S432" s="62"/>
      <c r="T432" s="62"/>
      <c r="U432" s="62"/>
      <c r="V432" s="62"/>
      <c r="W432" s="62"/>
      <c r="X432" s="62"/>
      <c r="Y432" s="43"/>
      <c r="Z432" s="43"/>
      <c r="AA432" s="43"/>
      <c r="AB432" s="43"/>
      <c r="AC432" s="43"/>
      <c r="AD432" s="43"/>
    </row>
    <row r="433">
      <c r="A433" s="43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4"/>
      <c r="P433" s="62"/>
      <c r="Q433" s="62"/>
      <c r="R433" s="62"/>
      <c r="S433" s="62"/>
      <c r="T433" s="62"/>
      <c r="U433" s="62"/>
      <c r="V433" s="62"/>
      <c r="W433" s="62"/>
      <c r="X433" s="62"/>
      <c r="Y433" s="43"/>
      <c r="Z433" s="43"/>
      <c r="AA433" s="43"/>
      <c r="AB433" s="43"/>
      <c r="AC433" s="43"/>
      <c r="AD433" s="43"/>
    </row>
    <row r="434">
      <c r="A434" s="43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4"/>
      <c r="P434" s="62"/>
      <c r="Q434" s="62"/>
      <c r="R434" s="62"/>
      <c r="S434" s="62"/>
      <c r="T434" s="62"/>
      <c r="U434" s="62"/>
      <c r="V434" s="62"/>
      <c r="W434" s="62"/>
      <c r="X434" s="62"/>
      <c r="Y434" s="43"/>
      <c r="Z434" s="43"/>
      <c r="AA434" s="43"/>
      <c r="AB434" s="43"/>
      <c r="AC434" s="43"/>
      <c r="AD434" s="43"/>
    </row>
    <row r="435">
      <c r="A435" s="43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4"/>
      <c r="P435" s="62"/>
      <c r="Q435" s="62"/>
      <c r="R435" s="62"/>
      <c r="S435" s="62"/>
      <c r="T435" s="62"/>
      <c r="U435" s="62"/>
      <c r="V435" s="62"/>
      <c r="W435" s="62"/>
      <c r="X435" s="62"/>
      <c r="Y435" s="43"/>
      <c r="Z435" s="43"/>
      <c r="AA435" s="43"/>
      <c r="AB435" s="43"/>
      <c r="AC435" s="43"/>
      <c r="AD435" s="43"/>
    </row>
    <row r="436">
      <c r="A436" s="43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4"/>
      <c r="P436" s="62"/>
      <c r="Q436" s="62"/>
      <c r="R436" s="62"/>
      <c r="S436" s="62"/>
      <c r="T436" s="62"/>
      <c r="U436" s="62"/>
      <c r="V436" s="62"/>
      <c r="W436" s="62"/>
      <c r="X436" s="62"/>
      <c r="Y436" s="43"/>
      <c r="Z436" s="43"/>
      <c r="AA436" s="43"/>
      <c r="AB436" s="43"/>
      <c r="AC436" s="43"/>
      <c r="AD436" s="43"/>
    </row>
    <row r="437">
      <c r="A437" s="43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4"/>
      <c r="P437" s="62"/>
      <c r="Q437" s="62"/>
      <c r="R437" s="62"/>
      <c r="S437" s="62"/>
      <c r="T437" s="62"/>
      <c r="U437" s="62"/>
      <c r="V437" s="62"/>
      <c r="W437" s="62"/>
      <c r="X437" s="62"/>
      <c r="Y437" s="43"/>
      <c r="Z437" s="43"/>
      <c r="AA437" s="43"/>
      <c r="AB437" s="43"/>
      <c r="AC437" s="43"/>
      <c r="AD437" s="43"/>
    </row>
    <row r="438">
      <c r="A438" s="43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4"/>
      <c r="P438" s="62"/>
      <c r="Q438" s="62"/>
      <c r="R438" s="62"/>
      <c r="S438" s="62"/>
      <c r="T438" s="62"/>
      <c r="U438" s="62"/>
      <c r="V438" s="62"/>
      <c r="W438" s="62"/>
      <c r="X438" s="62"/>
      <c r="Y438" s="43"/>
      <c r="Z438" s="43"/>
      <c r="AA438" s="43"/>
      <c r="AB438" s="43"/>
      <c r="AC438" s="43"/>
      <c r="AD438" s="43"/>
    </row>
    <row r="439">
      <c r="A439" s="43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4"/>
      <c r="P439" s="62"/>
      <c r="Q439" s="62"/>
      <c r="R439" s="62"/>
      <c r="S439" s="62"/>
      <c r="T439" s="62"/>
      <c r="U439" s="62"/>
      <c r="V439" s="62"/>
      <c r="W439" s="62"/>
      <c r="X439" s="62"/>
      <c r="Y439" s="43"/>
      <c r="Z439" s="43"/>
      <c r="AA439" s="43"/>
      <c r="AB439" s="43"/>
      <c r="AC439" s="43"/>
      <c r="AD439" s="43"/>
    </row>
    <row r="440">
      <c r="A440" s="43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4"/>
      <c r="P440" s="62"/>
      <c r="Q440" s="62"/>
      <c r="R440" s="62"/>
      <c r="S440" s="62"/>
      <c r="T440" s="62"/>
      <c r="U440" s="62"/>
      <c r="V440" s="62"/>
      <c r="W440" s="62"/>
      <c r="X440" s="62"/>
      <c r="Y440" s="43"/>
      <c r="Z440" s="43"/>
      <c r="AA440" s="43"/>
      <c r="AB440" s="43"/>
      <c r="AC440" s="43"/>
      <c r="AD440" s="43"/>
    </row>
    <row r="441">
      <c r="A441" s="43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4"/>
      <c r="P441" s="62"/>
      <c r="Q441" s="62"/>
      <c r="R441" s="62"/>
      <c r="S441" s="62"/>
      <c r="T441" s="62"/>
      <c r="U441" s="62"/>
      <c r="V441" s="62"/>
      <c r="W441" s="62"/>
      <c r="X441" s="62"/>
      <c r="Y441" s="43"/>
      <c r="Z441" s="43"/>
      <c r="AA441" s="43"/>
      <c r="AB441" s="43"/>
      <c r="AC441" s="43"/>
      <c r="AD441" s="43"/>
    </row>
    <row r="442">
      <c r="A442" s="43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4"/>
      <c r="P442" s="62"/>
      <c r="Q442" s="62"/>
      <c r="R442" s="62"/>
      <c r="S442" s="62"/>
      <c r="T442" s="62"/>
      <c r="U442" s="62"/>
      <c r="V442" s="62"/>
      <c r="W442" s="62"/>
      <c r="X442" s="62"/>
      <c r="Y442" s="43"/>
      <c r="Z442" s="43"/>
      <c r="AA442" s="43"/>
      <c r="AB442" s="43"/>
      <c r="AC442" s="43"/>
      <c r="AD442" s="43"/>
    </row>
    <row r="443">
      <c r="A443" s="43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4"/>
      <c r="P443" s="62"/>
      <c r="Q443" s="62"/>
      <c r="R443" s="62"/>
      <c r="S443" s="62"/>
      <c r="T443" s="62"/>
      <c r="U443" s="62"/>
      <c r="V443" s="62"/>
      <c r="W443" s="62"/>
      <c r="X443" s="62"/>
      <c r="Y443" s="43"/>
      <c r="Z443" s="43"/>
      <c r="AA443" s="43"/>
      <c r="AB443" s="43"/>
      <c r="AC443" s="43"/>
      <c r="AD443" s="43"/>
    </row>
    <row r="444">
      <c r="A444" s="43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4"/>
      <c r="P444" s="62"/>
      <c r="Q444" s="62"/>
      <c r="R444" s="62"/>
      <c r="S444" s="62"/>
      <c r="T444" s="62"/>
      <c r="U444" s="62"/>
      <c r="V444" s="62"/>
      <c r="W444" s="62"/>
      <c r="X444" s="62"/>
      <c r="Y444" s="43"/>
      <c r="Z444" s="43"/>
      <c r="AA444" s="43"/>
      <c r="AB444" s="43"/>
      <c r="AC444" s="43"/>
      <c r="AD444" s="43"/>
    </row>
    <row r="445">
      <c r="A445" s="43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4"/>
      <c r="P445" s="62"/>
      <c r="Q445" s="62"/>
      <c r="R445" s="62"/>
      <c r="S445" s="62"/>
      <c r="T445" s="62"/>
      <c r="U445" s="62"/>
      <c r="V445" s="62"/>
      <c r="W445" s="62"/>
      <c r="X445" s="62"/>
      <c r="Y445" s="43"/>
      <c r="Z445" s="43"/>
      <c r="AA445" s="43"/>
      <c r="AB445" s="43"/>
      <c r="AC445" s="43"/>
      <c r="AD445" s="43"/>
    </row>
    <row r="446">
      <c r="A446" s="43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4"/>
      <c r="P446" s="62"/>
      <c r="Q446" s="62"/>
      <c r="R446" s="62"/>
      <c r="S446" s="62"/>
      <c r="T446" s="62"/>
      <c r="U446" s="62"/>
      <c r="V446" s="62"/>
      <c r="W446" s="62"/>
      <c r="X446" s="62"/>
      <c r="Y446" s="43"/>
      <c r="Z446" s="43"/>
      <c r="AA446" s="43"/>
      <c r="AB446" s="43"/>
      <c r="AC446" s="43"/>
      <c r="AD446" s="43"/>
    </row>
    <row r="447">
      <c r="A447" s="43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4"/>
      <c r="P447" s="62"/>
      <c r="Q447" s="62"/>
      <c r="R447" s="62"/>
      <c r="S447" s="62"/>
      <c r="T447" s="62"/>
      <c r="U447" s="62"/>
      <c r="V447" s="62"/>
      <c r="W447" s="62"/>
      <c r="X447" s="62"/>
      <c r="Y447" s="43"/>
      <c r="Z447" s="43"/>
      <c r="AA447" s="43"/>
      <c r="AB447" s="43"/>
      <c r="AC447" s="43"/>
      <c r="AD447" s="43"/>
    </row>
    <row r="448">
      <c r="A448" s="43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4"/>
      <c r="P448" s="62"/>
      <c r="Q448" s="62"/>
      <c r="R448" s="62"/>
      <c r="S448" s="62"/>
      <c r="T448" s="62"/>
      <c r="U448" s="62"/>
      <c r="V448" s="62"/>
      <c r="W448" s="62"/>
      <c r="X448" s="62"/>
      <c r="Y448" s="43"/>
      <c r="Z448" s="43"/>
      <c r="AA448" s="43"/>
      <c r="AB448" s="43"/>
      <c r="AC448" s="43"/>
      <c r="AD448" s="43"/>
    </row>
    <row r="449">
      <c r="A449" s="43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4"/>
      <c r="P449" s="62"/>
      <c r="Q449" s="62"/>
      <c r="R449" s="62"/>
      <c r="S449" s="62"/>
      <c r="T449" s="62"/>
      <c r="U449" s="62"/>
      <c r="V449" s="62"/>
      <c r="W449" s="62"/>
      <c r="X449" s="62"/>
      <c r="Y449" s="43"/>
      <c r="Z449" s="43"/>
      <c r="AA449" s="43"/>
      <c r="AB449" s="43"/>
      <c r="AC449" s="43"/>
      <c r="AD449" s="43"/>
    </row>
    <row r="450">
      <c r="A450" s="43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4"/>
      <c r="P450" s="62"/>
      <c r="Q450" s="62"/>
      <c r="R450" s="62"/>
      <c r="S450" s="62"/>
      <c r="T450" s="62"/>
      <c r="U450" s="62"/>
      <c r="V450" s="62"/>
      <c r="W450" s="62"/>
      <c r="X450" s="62"/>
      <c r="Y450" s="43"/>
      <c r="Z450" s="43"/>
      <c r="AA450" s="43"/>
      <c r="AB450" s="43"/>
      <c r="AC450" s="43"/>
      <c r="AD450" s="43"/>
    </row>
    <row r="451">
      <c r="A451" s="43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4"/>
      <c r="P451" s="62"/>
      <c r="Q451" s="62"/>
      <c r="R451" s="62"/>
      <c r="S451" s="62"/>
      <c r="T451" s="62"/>
      <c r="U451" s="62"/>
      <c r="V451" s="62"/>
      <c r="W451" s="62"/>
      <c r="X451" s="62"/>
      <c r="Y451" s="43"/>
      <c r="Z451" s="43"/>
      <c r="AA451" s="43"/>
      <c r="AB451" s="43"/>
      <c r="AC451" s="43"/>
      <c r="AD451" s="43"/>
    </row>
    <row r="452">
      <c r="A452" s="43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4"/>
      <c r="P452" s="62"/>
      <c r="Q452" s="62"/>
      <c r="R452" s="62"/>
      <c r="S452" s="62"/>
      <c r="T452" s="62"/>
      <c r="U452" s="62"/>
      <c r="V452" s="62"/>
      <c r="W452" s="62"/>
      <c r="X452" s="62"/>
      <c r="Y452" s="43"/>
      <c r="Z452" s="43"/>
      <c r="AA452" s="43"/>
      <c r="AB452" s="43"/>
      <c r="AC452" s="43"/>
      <c r="AD452" s="43"/>
    </row>
    <row r="453">
      <c r="A453" s="43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4"/>
      <c r="P453" s="62"/>
      <c r="Q453" s="62"/>
      <c r="R453" s="62"/>
      <c r="S453" s="62"/>
      <c r="T453" s="62"/>
      <c r="U453" s="62"/>
      <c r="V453" s="62"/>
      <c r="W453" s="62"/>
      <c r="X453" s="62"/>
      <c r="Y453" s="43"/>
      <c r="Z453" s="43"/>
      <c r="AA453" s="43"/>
      <c r="AB453" s="43"/>
      <c r="AC453" s="43"/>
      <c r="AD453" s="43"/>
    </row>
    <row r="454">
      <c r="A454" s="43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4"/>
      <c r="P454" s="62"/>
      <c r="Q454" s="62"/>
      <c r="R454" s="62"/>
      <c r="S454" s="62"/>
      <c r="T454" s="62"/>
      <c r="U454" s="62"/>
      <c r="V454" s="62"/>
      <c r="W454" s="62"/>
      <c r="X454" s="62"/>
      <c r="Y454" s="43"/>
      <c r="Z454" s="43"/>
      <c r="AA454" s="43"/>
      <c r="AB454" s="43"/>
      <c r="AC454" s="43"/>
      <c r="AD454" s="43"/>
    </row>
    <row r="455">
      <c r="A455" s="43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4"/>
      <c r="P455" s="62"/>
      <c r="Q455" s="62"/>
      <c r="R455" s="62"/>
      <c r="S455" s="62"/>
      <c r="T455" s="62"/>
      <c r="U455" s="62"/>
      <c r="V455" s="62"/>
      <c r="W455" s="62"/>
      <c r="X455" s="62"/>
      <c r="Y455" s="43"/>
      <c r="Z455" s="43"/>
      <c r="AA455" s="43"/>
      <c r="AB455" s="43"/>
      <c r="AC455" s="43"/>
      <c r="AD455" s="43"/>
    </row>
    <row r="456">
      <c r="A456" s="43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4"/>
      <c r="P456" s="62"/>
      <c r="Q456" s="62"/>
      <c r="R456" s="62"/>
      <c r="S456" s="62"/>
      <c r="T456" s="62"/>
      <c r="U456" s="62"/>
      <c r="V456" s="62"/>
      <c r="W456" s="62"/>
      <c r="X456" s="62"/>
      <c r="Y456" s="43"/>
      <c r="Z456" s="43"/>
      <c r="AA456" s="43"/>
      <c r="AB456" s="43"/>
      <c r="AC456" s="43"/>
      <c r="AD456" s="43"/>
    </row>
    <row r="457">
      <c r="A457" s="43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4"/>
      <c r="P457" s="62"/>
      <c r="Q457" s="62"/>
      <c r="R457" s="62"/>
      <c r="S457" s="62"/>
      <c r="T457" s="62"/>
      <c r="U457" s="62"/>
      <c r="V457" s="62"/>
      <c r="W457" s="62"/>
      <c r="X457" s="62"/>
      <c r="Y457" s="43"/>
      <c r="Z457" s="43"/>
      <c r="AA457" s="43"/>
      <c r="AB457" s="43"/>
      <c r="AC457" s="43"/>
      <c r="AD457" s="43"/>
    </row>
    <row r="458">
      <c r="A458" s="43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4"/>
      <c r="P458" s="62"/>
      <c r="Q458" s="62"/>
      <c r="R458" s="62"/>
      <c r="S458" s="62"/>
      <c r="T458" s="62"/>
      <c r="U458" s="62"/>
      <c r="V458" s="62"/>
      <c r="W458" s="62"/>
      <c r="X458" s="62"/>
      <c r="Y458" s="43"/>
      <c r="Z458" s="43"/>
      <c r="AA458" s="43"/>
      <c r="AB458" s="43"/>
      <c r="AC458" s="43"/>
      <c r="AD458" s="43"/>
    </row>
    <row r="459">
      <c r="A459" s="43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4"/>
      <c r="P459" s="62"/>
      <c r="Q459" s="62"/>
      <c r="R459" s="62"/>
      <c r="S459" s="62"/>
      <c r="T459" s="62"/>
      <c r="U459" s="62"/>
      <c r="V459" s="62"/>
      <c r="W459" s="62"/>
      <c r="X459" s="62"/>
      <c r="Y459" s="43"/>
      <c r="Z459" s="43"/>
      <c r="AA459" s="43"/>
      <c r="AB459" s="43"/>
      <c r="AC459" s="43"/>
      <c r="AD459" s="43"/>
    </row>
    <row r="460">
      <c r="A460" s="43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4"/>
      <c r="P460" s="62"/>
      <c r="Q460" s="62"/>
      <c r="R460" s="62"/>
      <c r="S460" s="62"/>
      <c r="T460" s="62"/>
      <c r="U460" s="62"/>
      <c r="V460" s="62"/>
      <c r="W460" s="62"/>
      <c r="X460" s="62"/>
      <c r="Y460" s="43"/>
      <c r="Z460" s="43"/>
      <c r="AA460" s="43"/>
      <c r="AB460" s="43"/>
      <c r="AC460" s="43"/>
      <c r="AD460" s="43"/>
    </row>
    <row r="461">
      <c r="A461" s="43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4"/>
      <c r="P461" s="62"/>
      <c r="Q461" s="62"/>
      <c r="R461" s="62"/>
      <c r="S461" s="62"/>
      <c r="T461" s="62"/>
      <c r="U461" s="62"/>
      <c r="V461" s="62"/>
      <c r="W461" s="62"/>
      <c r="X461" s="62"/>
      <c r="Y461" s="43"/>
      <c r="Z461" s="43"/>
      <c r="AA461" s="43"/>
      <c r="AB461" s="43"/>
      <c r="AC461" s="43"/>
      <c r="AD461" s="43"/>
    </row>
    <row r="462">
      <c r="A462" s="43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4"/>
      <c r="P462" s="62"/>
      <c r="Q462" s="62"/>
      <c r="R462" s="62"/>
      <c r="S462" s="62"/>
      <c r="T462" s="62"/>
      <c r="U462" s="62"/>
      <c r="V462" s="62"/>
      <c r="W462" s="62"/>
      <c r="X462" s="62"/>
      <c r="Y462" s="43"/>
      <c r="Z462" s="43"/>
      <c r="AA462" s="43"/>
      <c r="AB462" s="43"/>
      <c r="AC462" s="43"/>
      <c r="AD462" s="43"/>
    </row>
    <row r="463">
      <c r="A463" s="43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4"/>
      <c r="P463" s="62"/>
      <c r="Q463" s="62"/>
      <c r="R463" s="62"/>
      <c r="S463" s="62"/>
      <c r="T463" s="62"/>
      <c r="U463" s="62"/>
      <c r="V463" s="62"/>
      <c r="W463" s="62"/>
      <c r="X463" s="62"/>
      <c r="Y463" s="43"/>
      <c r="Z463" s="43"/>
      <c r="AA463" s="43"/>
      <c r="AB463" s="43"/>
      <c r="AC463" s="43"/>
      <c r="AD463" s="43"/>
    </row>
    <row r="464">
      <c r="A464" s="43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4"/>
      <c r="P464" s="62"/>
      <c r="Q464" s="62"/>
      <c r="R464" s="62"/>
      <c r="S464" s="62"/>
      <c r="T464" s="62"/>
      <c r="U464" s="62"/>
      <c r="V464" s="62"/>
      <c r="W464" s="62"/>
      <c r="X464" s="62"/>
      <c r="Y464" s="43"/>
      <c r="Z464" s="43"/>
      <c r="AA464" s="43"/>
      <c r="AB464" s="43"/>
      <c r="AC464" s="43"/>
      <c r="AD464" s="43"/>
    </row>
    <row r="465">
      <c r="A465" s="43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4"/>
      <c r="P465" s="62"/>
      <c r="Q465" s="62"/>
      <c r="R465" s="62"/>
      <c r="S465" s="62"/>
      <c r="T465" s="62"/>
      <c r="U465" s="62"/>
      <c r="V465" s="62"/>
      <c r="W465" s="62"/>
      <c r="X465" s="62"/>
      <c r="Y465" s="43"/>
      <c r="Z465" s="43"/>
      <c r="AA465" s="43"/>
      <c r="AB465" s="43"/>
      <c r="AC465" s="43"/>
      <c r="AD465" s="43"/>
    </row>
    <row r="466">
      <c r="A466" s="43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4"/>
      <c r="P466" s="62"/>
      <c r="Q466" s="62"/>
      <c r="R466" s="62"/>
      <c r="S466" s="62"/>
      <c r="T466" s="62"/>
      <c r="U466" s="62"/>
      <c r="V466" s="62"/>
      <c r="W466" s="62"/>
      <c r="X466" s="62"/>
      <c r="Y466" s="43"/>
      <c r="Z466" s="43"/>
      <c r="AA466" s="43"/>
      <c r="AB466" s="43"/>
      <c r="AC466" s="43"/>
      <c r="AD466" s="43"/>
    </row>
    <row r="467">
      <c r="A467" s="43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4"/>
      <c r="P467" s="62"/>
      <c r="Q467" s="62"/>
      <c r="R467" s="62"/>
      <c r="S467" s="62"/>
      <c r="T467" s="62"/>
      <c r="U467" s="62"/>
      <c r="V467" s="62"/>
      <c r="W467" s="62"/>
      <c r="X467" s="62"/>
      <c r="Y467" s="43"/>
      <c r="Z467" s="43"/>
      <c r="AA467" s="43"/>
      <c r="AB467" s="43"/>
      <c r="AC467" s="43"/>
      <c r="AD467" s="43"/>
    </row>
    <row r="468">
      <c r="A468" s="43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4"/>
      <c r="P468" s="62"/>
      <c r="Q468" s="62"/>
      <c r="R468" s="62"/>
      <c r="S468" s="62"/>
      <c r="T468" s="62"/>
      <c r="U468" s="62"/>
      <c r="V468" s="62"/>
      <c r="W468" s="62"/>
      <c r="X468" s="62"/>
      <c r="Y468" s="43"/>
      <c r="Z468" s="43"/>
      <c r="AA468" s="43"/>
      <c r="AB468" s="43"/>
      <c r="AC468" s="43"/>
      <c r="AD468" s="43"/>
    </row>
    <row r="469">
      <c r="A469" s="43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4"/>
      <c r="P469" s="62"/>
      <c r="Q469" s="62"/>
      <c r="R469" s="62"/>
      <c r="S469" s="62"/>
      <c r="T469" s="62"/>
      <c r="U469" s="62"/>
      <c r="V469" s="62"/>
      <c r="W469" s="62"/>
      <c r="X469" s="62"/>
      <c r="Y469" s="43"/>
      <c r="Z469" s="43"/>
      <c r="AA469" s="43"/>
      <c r="AB469" s="43"/>
      <c r="AC469" s="43"/>
      <c r="AD469" s="43"/>
    </row>
    <row r="470">
      <c r="A470" s="43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4"/>
      <c r="P470" s="62"/>
      <c r="Q470" s="62"/>
      <c r="R470" s="62"/>
      <c r="S470" s="62"/>
      <c r="T470" s="62"/>
      <c r="U470" s="62"/>
      <c r="V470" s="62"/>
      <c r="W470" s="62"/>
      <c r="X470" s="62"/>
      <c r="Y470" s="43"/>
      <c r="Z470" s="43"/>
      <c r="AA470" s="43"/>
      <c r="AB470" s="43"/>
      <c r="AC470" s="43"/>
      <c r="AD470" s="43"/>
    </row>
    <row r="471">
      <c r="A471" s="43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4"/>
      <c r="P471" s="62"/>
      <c r="Q471" s="62"/>
      <c r="R471" s="62"/>
      <c r="S471" s="62"/>
      <c r="T471" s="62"/>
      <c r="U471" s="62"/>
      <c r="V471" s="62"/>
      <c r="W471" s="62"/>
      <c r="X471" s="62"/>
      <c r="Y471" s="43"/>
      <c r="Z471" s="43"/>
      <c r="AA471" s="43"/>
      <c r="AB471" s="43"/>
      <c r="AC471" s="43"/>
      <c r="AD471" s="43"/>
    </row>
    <row r="472">
      <c r="A472" s="43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4"/>
      <c r="P472" s="62"/>
      <c r="Q472" s="62"/>
      <c r="R472" s="62"/>
      <c r="S472" s="62"/>
      <c r="T472" s="62"/>
      <c r="U472" s="62"/>
      <c r="V472" s="62"/>
      <c r="W472" s="62"/>
      <c r="X472" s="62"/>
      <c r="Y472" s="43"/>
      <c r="Z472" s="43"/>
      <c r="AA472" s="43"/>
      <c r="AB472" s="43"/>
      <c r="AC472" s="43"/>
      <c r="AD472" s="43"/>
    </row>
    <row r="473">
      <c r="A473" s="43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4"/>
      <c r="P473" s="62"/>
      <c r="Q473" s="62"/>
      <c r="R473" s="62"/>
      <c r="S473" s="62"/>
      <c r="T473" s="62"/>
      <c r="U473" s="62"/>
      <c r="V473" s="62"/>
      <c r="W473" s="62"/>
      <c r="X473" s="62"/>
      <c r="Y473" s="43"/>
      <c r="Z473" s="43"/>
      <c r="AA473" s="43"/>
      <c r="AB473" s="43"/>
      <c r="AC473" s="43"/>
      <c r="AD473" s="43"/>
    </row>
    <row r="474">
      <c r="A474" s="43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4"/>
      <c r="P474" s="62"/>
      <c r="Q474" s="62"/>
      <c r="R474" s="62"/>
      <c r="S474" s="62"/>
      <c r="T474" s="62"/>
      <c r="U474" s="62"/>
      <c r="V474" s="62"/>
      <c r="W474" s="62"/>
      <c r="X474" s="62"/>
      <c r="Y474" s="43"/>
      <c r="Z474" s="43"/>
      <c r="AA474" s="43"/>
      <c r="AB474" s="43"/>
      <c r="AC474" s="43"/>
      <c r="AD474" s="43"/>
    </row>
    <row r="475">
      <c r="A475" s="43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4"/>
      <c r="P475" s="62"/>
      <c r="Q475" s="62"/>
      <c r="R475" s="62"/>
      <c r="S475" s="62"/>
      <c r="T475" s="62"/>
      <c r="U475" s="62"/>
      <c r="V475" s="62"/>
      <c r="W475" s="62"/>
      <c r="X475" s="62"/>
      <c r="Y475" s="43"/>
      <c r="Z475" s="43"/>
      <c r="AA475" s="43"/>
      <c r="AB475" s="43"/>
      <c r="AC475" s="43"/>
      <c r="AD475" s="43"/>
    </row>
    <row r="476">
      <c r="A476" s="43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4"/>
      <c r="P476" s="62"/>
      <c r="Q476" s="62"/>
      <c r="R476" s="62"/>
      <c r="S476" s="62"/>
      <c r="T476" s="62"/>
      <c r="U476" s="62"/>
      <c r="V476" s="62"/>
      <c r="W476" s="62"/>
      <c r="X476" s="62"/>
      <c r="Y476" s="43"/>
      <c r="Z476" s="43"/>
      <c r="AA476" s="43"/>
      <c r="AB476" s="43"/>
      <c r="AC476" s="43"/>
      <c r="AD476" s="43"/>
    </row>
    <row r="477">
      <c r="A477" s="43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4"/>
      <c r="P477" s="62"/>
      <c r="Q477" s="62"/>
      <c r="R477" s="62"/>
      <c r="S477" s="62"/>
      <c r="T477" s="62"/>
      <c r="U477" s="62"/>
      <c r="V477" s="62"/>
      <c r="W477" s="62"/>
      <c r="X477" s="62"/>
      <c r="Y477" s="43"/>
      <c r="Z477" s="43"/>
      <c r="AA477" s="43"/>
      <c r="AB477" s="43"/>
      <c r="AC477" s="43"/>
      <c r="AD477" s="43"/>
    </row>
    <row r="478">
      <c r="A478" s="43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4"/>
      <c r="P478" s="62"/>
      <c r="Q478" s="62"/>
      <c r="R478" s="62"/>
      <c r="S478" s="62"/>
      <c r="T478" s="62"/>
      <c r="U478" s="62"/>
      <c r="V478" s="62"/>
      <c r="W478" s="62"/>
      <c r="X478" s="62"/>
      <c r="Y478" s="43"/>
      <c r="Z478" s="43"/>
      <c r="AA478" s="43"/>
      <c r="AB478" s="43"/>
      <c r="AC478" s="43"/>
      <c r="AD478" s="43"/>
    </row>
    <row r="479">
      <c r="A479" s="43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4"/>
      <c r="P479" s="62"/>
      <c r="Q479" s="62"/>
      <c r="R479" s="62"/>
      <c r="S479" s="62"/>
      <c r="T479" s="62"/>
      <c r="U479" s="62"/>
      <c r="V479" s="62"/>
      <c r="W479" s="62"/>
      <c r="X479" s="62"/>
      <c r="Y479" s="43"/>
      <c r="Z479" s="43"/>
      <c r="AA479" s="43"/>
      <c r="AB479" s="43"/>
      <c r="AC479" s="43"/>
      <c r="AD479" s="43"/>
    </row>
    <row r="480">
      <c r="A480" s="43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4"/>
      <c r="P480" s="62"/>
      <c r="Q480" s="62"/>
      <c r="R480" s="62"/>
      <c r="S480" s="62"/>
      <c r="T480" s="62"/>
      <c r="U480" s="62"/>
      <c r="V480" s="62"/>
      <c r="W480" s="62"/>
      <c r="X480" s="62"/>
      <c r="Y480" s="43"/>
      <c r="Z480" s="43"/>
      <c r="AA480" s="43"/>
      <c r="AB480" s="43"/>
      <c r="AC480" s="43"/>
      <c r="AD480" s="43"/>
    </row>
    <row r="481">
      <c r="A481" s="43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4"/>
      <c r="P481" s="62"/>
      <c r="Q481" s="62"/>
      <c r="R481" s="62"/>
      <c r="S481" s="62"/>
      <c r="T481" s="62"/>
      <c r="U481" s="62"/>
      <c r="V481" s="62"/>
      <c r="W481" s="62"/>
      <c r="X481" s="62"/>
      <c r="Y481" s="43"/>
      <c r="Z481" s="43"/>
      <c r="AA481" s="43"/>
      <c r="AB481" s="43"/>
      <c r="AC481" s="43"/>
      <c r="AD481" s="43"/>
    </row>
    <row r="482">
      <c r="A482" s="43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4"/>
      <c r="P482" s="62"/>
      <c r="Q482" s="62"/>
      <c r="R482" s="62"/>
      <c r="S482" s="62"/>
      <c r="T482" s="62"/>
      <c r="U482" s="62"/>
      <c r="V482" s="62"/>
      <c r="W482" s="62"/>
      <c r="X482" s="62"/>
      <c r="Y482" s="43"/>
      <c r="Z482" s="43"/>
      <c r="AA482" s="43"/>
      <c r="AB482" s="43"/>
      <c r="AC482" s="43"/>
      <c r="AD482" s="43"/>
    </row>
    <row r="483">
      <c r="A483" s="43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4"/>
      <c r="P483" s="62"/>
      <c r="Q483" s="62"/>
      <c r="R483" s="62"/>
      <c r="S483" s="62"/>
      <c r="T483" s="62"/>
      <c r="U483" s="62"/>
      <c r="V483" s="62"/>
      <c r="W483" s="62"/>
      <c r="X483" s="62"/>
      <c r="Y483" s="43"/>
      <c r="Z483" s="43"/>
      <c r="AA483" s="43"/>
      <c r="AB483" s="43"/>
      <c r="AC483" s="43"/>
      <c r="AD483" s="43"/>
    </row>
    <row r="484">
      <c r="A484" s="43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4"/>
      <c r="P484" s="62"/>
      <c r="Q484" s="62"/>
      <c r="R484" s="62"/>
      <c r="S484" s="62"/>
      <c r="T484" s="62"/>
      <c r="U484" s="62"/>
      <c r="V484" s="62"/>
      <c r="W484" s="62"/>
      <c r="X484" s="62"/>
      <c r="Y484" s="43"/>
      <c r="Z484" s="43"/>
      <c r="AA484" s="43"/>
      <c r="AB484" s="43"/>
      <c r="AC484" s="43"/>
      <c r="AD484" s="43"/>
    </row>
    <row r="485">
      <c r="A485" s="43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4"/>
      <c r="P485" s="62"/>
      <c r="Q485" s="62"/>
      <c r="R485" s="62"/>
      <c r="S485" s="62"/>
      <c r="T485" s="62"/>
      <c r="U485" s="62"/>
      <c r="V485" s="62"/>
      <c r="W485" s="62"/>
      <c r="X485" s="62"/>
      <c r="Y485" s="43"/>
      <c r="Z485" s="43"/>
      <c r="AA485" s="43"/>
      <c r="AB485" s="43"/>
      <c r="AC485" s="43"/>
      <c r="AD485" s="43"/>
    </row>
    <row r="486">
      <c r="A486" s="43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4"/>
      <c r="P486" s="62"/>
      <c r="Q486" s="62"/>
      <c r="R486" s="62"/>
      <c r="S486" s="62"/>
      <c r="T486" s="62"/>
      <c r="U486" s="62"/>
      <c r="V486" s="62"/>
      <c r="W486" s="62"/>
      <c r="X486" s="62"/>
      <c r="Y486" s="43"/>
      <c r="Z486" s="43"/>
      <c r="AA486" s="43"/>
      <c r="AB486" s="43"/>
      <c r="AC486" s="43"/>
      <c r="AD486" s="43"/>
    </row>
    <row r="487">
      <c r="A487" s="43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4"/>
      <c r="P487" s="62"/>
      <c r="Q487" s="62"/>
      <c r="R487" s="62"/>
      <c r="S487" s="62"/>
      <c r="T487" s="62"/>
      <c r="U487" s="62"/>
      <c r="V487" s="62"/>
      <c r="W487" s="62"/>
      <c r="X487" s="62"/>
      <c r="Y487" s="43"/>
      <c r="Z487" s="43"/>
      <c r="AA487" s="43"/>
      <c r="AB487" s="43"/>
      <c r="AC487" s="43"/>
      <c r="AD487" s="43"/>
    </row>
    <row r="488">
      <c r="A488" s="43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4"/>
      <c r="P488" s="62"/>
      <c r="Q488" s="62"/>
      <c r="R488" s="62"/>
      <c r="S488" s="62"/>
      <c r="T488" s="62"/>
      <c r="U488" s="62"/>
      <c r="V488" s="62"/>
      <c r="W488" s="62"/>
      <c r="X488" s="62"/>
      <c r="Y488" s="43"/>
      <c r="Z488" s="43"/>
      <c r="AA488" s="43"/>
      <c r="AB488" s="43"/>
      <c r="AC488" s="43"/>
      <c r="AD488" s="43"/>
    </row>
    <row r="489">
      <c r="A489" s="43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4"/>
      <c r="P489" s="62"/>
      <c r="Q489" s="62"/>
      <c r="R489" s="62"/>
      <c r="S489" s="62"/>
      <c r="T489" s="62"/>
      <c r="U489" s="62"/>
      <c r="V489" s="62"/>
      <c r="W489" s="62"/>
      <c r="X489" s="62"/>
      <c r="Y489" s="43"/>
      <c r="Z489" s="43"/>
      <c r="AA489" s="43"/>
      <c r="AB489" s="43"/>
      <c r="AC489" s="43"/>
      <c r="AD489" s="43"/>
    </row>
    <row r="490">
      <c r="A490" s="43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4"/>
      <c r="P490" s="62"/>
      <c r="Q490" s="62"/>
      <c r="R490" s="62"/>
      <c r="S490" s="62"/>
      <c r="T490" s="62"/>
      <c r="U490" s="62"/>
      <c r="V490" s="62"/>
      <c r="W490" s="62"/>
      <c r="X490" s="62"/>
      <c r="Y490" s="43"/>
      <c r="Z490" s="43"/>
      <c r="AA490" s="43"/>
      <c r="AB490" s="43"/>
      <c r="AC490" s="43"/>
      <c r="AD490" s="43"/>
    </row>
    <row r="491">
      <c r="A491" s="43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4"/>
      <c r="P491" s="62"/>
      <c r="Q491" s="62"/>
      <c r="R491" s="62"/>
      <c r="S491" s="62"/>
      <c r="T491" s="62"/>
      <c r="U491" s="62"/>
      <c r="V491" s="62"/>
      <c r="W491" s="62"/>
      <c r="X491" s="62"/>
      <c r="Y491" s="43"/>
      <c r="Z491" s="43"/>
      <c r="AA491" s="43"/>
      <c r="AB491" s="43"/>
      <c r="AC491" s="43"/>
      <c r="AD491" s="43"/>
    </row>
    <row r="492">
      <c r="A492" s="43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4"/>
      <c r="P492" s="62"/>
      <c r="Q492" s="62"/>
      <c r="R492" s="62"/>
      <c r="S492" s="62"/>
      <c r="T492" s="62"/>
      <c r="U492" s="62"/>
      <c r="V492" s="62"/>
      <c r="W492" s="62"/>
      <c r="X492" s="62"/>
      <c r="Y492" s="43"/>
      <c r="Z492" s="43"/>
      <c r="AA492" s="43"/>
      <c r="AB492" s="43"/>
      <c r="AC492" s="43"/>
      <c r="AD492" s="43"/>
    </row>
    <row r="493">
      <c r="A493" s="43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4"/>
      <c r="P493" s="62"/>
      <c r="Q493" s="62"/>
      <c r="R493" s="62"/>
      <c r="S493" s="62"/>
      <c r="T493" s="62"/>
      <c r="U493" s="62"/>
      <c r="V493" s="62"/>
      <c r="W493" s="62"/>
      <c r="X493" s="62"/>
      <c r="Y493" s="43"/>
      <c r="Z493" s="43"/>
      <c r="AA493" s="43"/>
      <c r="AB493" s="43"/>
      <c r="AC493" s="43"/>
      <c r="AD493" s="43"/>
    </row>
    <row r="494">
      <c r="A494" s="43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4"/>
      <c r="P494" s="62"/>
      <c r="Q494" s="62"/>
      <c r="R494" s="62"/>
      <c r="S494" s="62"/>
      <c r="T494" s="62"/>
      <c r="U494" s="62"/>
      <c r="V494" s="62"/>
      <c r="W494" s="62"/>
      <c r="X494" s="62"/>
      <c r="Y494" s="43"/>
      <c r="Z494" s="43"/>
      <c r="AA494" s="43"/>
      <c r="AB494" s="43"/>
      <c r="AC494" s="43"/>
      <c r="AD494" s="43"/>
    </row>
    <row r="495">
      <c r="A495" s="43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4"/>
      <c r="P495" s="62"/>
      <c r="Q495" s="62"/>
      <c r="R495" s="62"/>
      <c r="S495" s="62"/>
      <c r="T495" s="62"/>
      <c r="U495" s="62"/>
      <c r="V495" s="62"/>
      <c r="W495" s="62"/>
      <c r="X495" s="62"/>
      <c r="Y495" s="43"/>
      <c r="Z495" s="43"/>
      <c r="AA495" s="43"/>
      <c r="AB495" s="43"/>
      <c r="AC495" s="43"/>
      <c r="AD495" s="43"/>
    </row>
    <row r="496">
      <c r="A496" s="43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4"/>
      <c r="P496" s="62"/>
      <c r="Q496" s="62"/>
      <c r="R496" s="62"/>
      <c r="S496" s="62"/>
      <c r="T496" s="62"/>
      <c r="U496" s="62"/>
      <c r="V496" s="62"/>
      <c r="W496" s="62"/>
      <c r="X496" s="62"/>
      <c r="Y496" s="43"/>
      <c r="Z496" s="43"/>
      <c r="AA496" s="43"/>
      <c r="AB496" s="43"/>
      <c r="AC496" s="43"/>
      <c r="AD496" s="43"/>
    </row>
    <row r="497">
      <c r="A497" s="43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4"/>
      <c r="P497" s="62"/>
      <c r="Q497" s="62"/>
      <c r="R497" s="62"/>
      <c r="S497" s="62"/>
      <c r="T497" s="62"/>
      <c r="U497" s="62"/>
      <c r="V497" s="62"/>
      <c r="W497" s="62"/>
      <c r="X497" s="62"/>
      <c r="Y497" s="43"/>
      <c r="Z497" s="43"/>
      <c r="AA497" s="43"/>
      <c r="AB497" s="43"/>
      <c r="AC497" s="43"/>
      <c r="AD497" s="43"/>
    </row>
    <row r="498">
      <c r="A498" s="43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4"/>
      <c r="P498" s="62"/>
      <c r="Q498" s="62"/>
      <c r="R498" s="62"/>
      <c r="S498" s="62"/>
      <c r="T498" s="62"/>
      <c r="U498" s="62"/>
      <c r="V498" s="62"/>
      <c r="W498" s="62"/>
      <c r="X498" s="62"/>
      <c r="Y498" s="43"/>
      <c r="Z498" s="43"/>
      <c r="AA498" s="43"/>
      <c r="AB498" s="43"/>
      <c r="AC498" s="43"/>
      <c r="AD498" s="43"/>
    </row>
    <row r="499">
      <c r="A499" s="43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4"/>
      <c r="P499" s="62"/>
      <c r="Q499" s="62"/>
      <c r="R499" s="62"/>
      <c r="S499" s="62"/>
      <c r="T499" s="62"/>
      <c r="U499" s="62"/>
      <c r="V499" s="62"/>
      <c r="W499" s="62"/>
      <c r="X499" s="62"/>
      <c r="Y499" s="43"/>
      <c r="Z499" s="43"/>
      <c r="AA499" s="43"/>
      <c r="AB499" s="43"/>
      <c r="AC499" s="43"/>
      <c r="AD499" s="43"/>
    </row>
    <row r="500">
      <c r="A500" s="43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4"/>
      <c r="P500" s="62"/>
      <c r="Q500" s="62"/>
      <c r="R500" s="62"/>
      <c r="S500" s="62"/>
      <c r="T500" s="62"/>
      <c r="U500" s="62"/>
      <c r="V500" s="62"/>
      <c r="W500" s="62"/>
      <c r="X500" s="62"/>
      <c r="Y500" s="43"/>
      <c r="Z500" s="43"/>
      <c r="AA500" s="43"/>
      <c r="AB500" s="43"/>
      <c r="AC500" s="43"/>
      <c r="AD500" s="43"/>
    </row>
    <row r="501">
      <c r="A501" s="43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4"/>
      <c r="P501" s="62"/>
      <c r="Q501" s="62"/>
      <c r="R501" s="62"/>
      <c r="S501" s="62"/>
      <c r="T501" s="62"/>
      <c r="U501" s="62"/>
      <c r="V501" s="62"/>
      <c r="W501" s="62"/>
      <c r="X501" s="62"/>
      <c r="Y501" s="43"/>
      <c r="Z501" s="43"/>
      <c r="AA501" s="43"/>
      <c r="AB501" s="43"/>
      <c r="AC501" s="43"/>
      <c r="AD501" s="43"/>
    </row>
    <row r="502">
      <c r="A502" s="43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4"/>
      <c r="P502" s="62"/>
      <c r="Q502" s="62"/>
      <c r="R502" s="62"/>
      <c r="S502" s="62"/>
      <c r="T502" s="62"/>
      <c r="U502" s="62"/>
      <c r="V502" s="62"/>
      <c r="W502" s="62"/>
      <c r="X502" s="62"/>
      <c r="Y502" s="43"/>
      <c r="Z502" s="43"/>
      <c r="AA502" s="43"/>
      <c r="AB502" s="43"/>
      <c r="AC502" s="43"/>
      <c r="AD502" s="43"/>
    </row>
    <row r="503">
      <c r="A503" s="43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4"/>
      <c r="P503" s="62"/>
      <c r="Q503" s="62"/>
      <c r="R503" s="62"/>
      <c r="S503" s="62"/>
      <c r="T503" s="62"/>
      <c r="U503" s="62"/>
      <c r="V503" s="62"/>
      <c r="W503" s="62"/>
      <c r="X503" s="62"/>
      <c r="Y503" s="43"/>
      <c r="Z503" s="43"/>
      <c r="AA503" s="43"/>
      <c r="AB503" s="43"/>
      <c r="AC503" s="43"/>
      <c r="AD503" s="43"/>
    </row>
    <row r="504">
      <c r="A504" s="43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4"/>
      <c r="P504" s="62"/>
      <c r="Q504" s="62"/>
      <c r="R504" s="62"/>
      <c r="S504" s="62"/>
      <c r="T504" s="62"/>
      <c r="U504" s="62"/>
      <c r="V504" s="62"/>
      <c r="W504" s="62"/>
      <c r="X504" s="62"/>
      <c r="Y504" s="43"/>
      <c r="Z504" s="43"/>
      <c r="AA504" s="43"/>
      <c r="AB504" s="43"/>
      <c r="AC504" s="43"/>
      <c r="AD504" s="43"/>
    </row>
    <row r="505">
      <c r="A505" s="43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4"/>
      <c r="P505" s="62"/>
      <c r="Q505" s="62"/>
      <c r="R505" s="62"/>
      <c r="S505" s="62"/>
      <c r="T505" s="62"/>
      <c r="U505" s="62"/>
      <c r="V505" s="62"/>
      <c r="W505" s="62"/>
      <c r="X505" s="62"/>
      <c r="Y505" s="43"/>
      <c r="Z505" s="43"/>
      <c r="AA505" s="43"/>
      <c r="AB505" s="43"/>
      <c r="AC505" s="43"/>
      <c r="AD505" s="43"/>
    </row>
    <row r="506">
      <c r="A506" s="43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4"/>
      <c r="P506" s="62"/>
      <c r="Q506" s="62"/>
      <c r="R506" s="62"/>
      <c r="S506" s="62"/>
      <c r="T506" s="62"/>
      <c r="U506" s="62"/>
      <c r="V506" s="62"/>
      <c r="W506" s="62"/>
      <c r="X506" s="62"/>
      <c r="Y506" s="43"/>
      <c r="Z506" s="43"/>
      <c r="AA506" s="43"/>
      <c r="AB506" s="43"/>
      <c r="AC506" s="43"/>
      <c r="AD506" s="43"/>
    </row>
    <row r="507">
      <c r="A507" s="43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4"/>
      <c r="P507" s="62"/>
      <c r="Q507" s="62"/>
      <c r="R507" s="62"/>
      <c r="S507" s="62"/>
      <c r="T507" s="62"/>
      <c r="U507" s="62"/>
      <c r="V507" s="62"/>
      <c r="W507" s="62"/>
      <c r="X507" s="62"/>
      <c r="Y507" s="43"/>
      <c r="Z507" s="43"/>
      <c r="AA507" s="43"/>
      <c r="AB507" s="43"/>
      <c r="AC507" s="43"/>
      <c r="AD507" s="43"/>
    </row>
    <row r="508">
      <c r="A508" s="43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4"/>
      <c r="P508" s="62"/>
      <c r="Q508" s="62"/>
      <c r="R508" s="62"/>
      <c r="S508" s="62"/>
      <c r="T508" s="62"/>
      <c r="U508" s="62"/>
      <c r="V508" s="62"/>
      <c r="W508" s="62"/>
      <c r="X508" s="62"/>
      <c r="Y508" s="43"/>
      <c r="Z508" s="43"/>
      <c r="AA508" s="43"/>
      <c r="AB508" s="43"/>
      <c r="AC508" s="43"/>
      <c r="AD508" s="43"/>
    </row>
    <row r="509">
      <c r="A509" s="43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4"/>
      <c r="P509" s="62"/>
      <c r="Q509" s="62"/>
      <c r="R509" s="62"/>
      <c r="S509" s="62"/>
      <c r="T509" s="62"/>
      <c r="U509" s="62"/>
      <c r="V509" s="62"/>
      <c r="W509" s="62"/>
      <c r="X509" s="62"/>
      <c r="Y509" s="43"/>
      <c r="Z509" s="43"/>
      <c r="AA509" s="43"/>
      <c r="AB509" s="43"/>
      <c r="AC509" s="43"/>
      <c r="AD509" s="43"/>
    </row>
    <row r="510">
      <c r="A510" s="43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4"/>
      <c r="P510" s="62"/>
      <c r="Q510" s="62"/>
      <c r="R510" s="62"/>
      <c r="S510" s="62"/>
      <c r="T510" s="62"/>
      <c r="U510" s="62"/>
      <c r="V510" s="62"/>
      <c r="W510" s="62"/>
      <c r="X510" s="62"/>
      <c r="Y510" s="43"/>
      <c r="Z510" s="43"/>
      <c r="AA510" s="43"/>
      <c r="AB510" s="43"/>
      <c r="AC510" s="43"/>
      <c r="AD510" s="43"/>
    </row>
    <row r="511">
      <c r="A511" s="43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4"/>
      <c r="P511" s="62"/>
      <c r="Q511" s="62"/>
      <c r="R511" s="62"/>
      <c r="S511" s="62"/>
      <c r="T511" s="62"/>
      <c r="U511" s="62"/>
      <c r="V511" s="62"/>
      <c r="W511" s="62"/>
      <c r="X511" s="62"/>
      <c r="Y511" s="43"/>
      <c r="Z511" s="43"/>
      <c r="AA511" s="43"/>
      <c r="AB511" s="43"/>
      <c r="AC511" s="43"/>
      <c r="AD511" s="43"/>
    </row>
    <row r="512">
      <c r="A512" s="43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4"/>
      <c r="P512" s="62"/>
      <c r="Q512" s="62"/>
      <c r="R512" s="62"/>
      <c r="S512" s="62"/>
      <c r="T512" s="62"/>
      <c r="U512" s="62"/>
      <c r="V512" s="62"/>
      <c r="W512" s="62"/>
      <c r="X512" s="62"/>
      <c r="Y512" s="43"/>
      <c r="Z512" s="43"/>
      <c r="AA512" s="43"/>
      <c r="AB512" s="43"/>
      <c r="AC512" s="43"/>
      <c r="AD512" s="43"/>
    </row>
    <row r="513">
      <c r="A513" s="43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4"/>
      <c r="P513" s="62"/>
      <c r="Q513" s="62"/>
      <c r="R513" s="62"/>
      <c r="S513" s="62"/>
      <c r="T513" s="62"/>
      <c r="U513" s="62"/>
      <c r="V513" s="62"/>
      <c r="W513" s="62"/>
      <c r="X513" s="62"/>
      <c r="Y513" s="43"/>
      <c r="Z513" s="43"/>
      <c r="AA513" s="43"/>
      <c r="AB513" s="43"/>
      <c r="AC513" s="43"/>
      <c r="AD513" s="43"/>
    </row>
    <row r="514">
      <c r="A514" s="43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4"/>
      <c r="P514" s="62"/>
      <c r="Q514" s="62"/>
      <c r="R514" s="62"/>
      <c r="S514" s="62"/>
      <c r="T514" s="62"/>
      <c r="U514" s="62"/>
      <c r="V514" s="62"/>
      <c r="W514" s="62"/>
      <c r="X514" s="62"/>
      <c r="Y514" s="43"/>
      <c r="Z514" s="43"/>
      <c r="AA514" s="43"/>
      <c r="AB514" s="43"/>
      <c r="AC514" s="43"/>
      <c r="AD514" s="43"/>
    </row>
    <row r="515">
      <c r="A515" s="43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4"/>
      <c r="P515" s="62"/>
      <c r="Q515" s="62"/>
      <c r="R515" s="62"/>
      <c r="S515" s="62"/>
      <c r="T515" s="62"/>
      <c r="U515" s="62"/>
      <c r="V515" s="62"/>
      <c r="W515" s="62"/>
      <c r="X515" s="62"/>
      <c r="Y515" s="43"/>
      <c r="Z515" s="43"/>
      <c r="AA515" s="43"/>
      <c r="AB515" s="43"/>
      <c r="AC515" s="43"/>
      <c r="AD515" s="43"/>
    </row>
    <row r="516">
      <c r="A516" s="43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4"/>
      <c r="P516" s="62"/>
      <c r="Q516" s="62"/>
      <c r="R516" s="62"/>
      <c r="S516" s="62"/>
      <c r="T516" s="62"/>
      <c r="U516" s="62"/>
      <c r="V516" s="62"/>
      <c r="W516" s="62"/>
      <c r="X516" s="62"/>
      <c r="Y516" s="43"/>
      <c r="Z516" s="43"/>
      <c r="AA516" s="43"/>
      <c r="AB516" s="43"/>
      <c r="AC516" s="43"/>
      <c r="AD516" s="43"/>
    </row>
    <row r="517">
      <c r="A517" s="43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4"/>
      <c r="P517" s="62"/>
      <c r="Q517" s="62"/>
      <c r="R517" s="62"/>
      <c r="S517" s="62"/>
      <c r="T517" s="62"/>
      <c r="U517" s="62"/>
      <c r="V517" s="62"/>
      <c r="W517" s="62"/>
      <c r="X517" s="62"/>
      <c r="Y517" s="43"/>
      <c r="Z517" s="43"/>
      <c r="AA517" s="43"/>
      <c r="AB517" s="43"/>
      <c r="AC517" s="43"/>
      <c r="AD517" s="43"/>
    </row>
    <row r="518">
      <c r="A518" s="43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4"/>
      <c r="P518" s="62"/>
      <c r="Q518" s="62"/>
      <c r="R518" s="62"/>
      <c r="S518" s="62"/>
      <c r="T518" s="62"/>
      <c r="U518" s="62"/>
      <c r="V518" s="62"/>
      <c r="W518" s="62"/>
      <c r="X518" s="62"/>
      <c r="Y518" s="43"/>
      <c r="Z518" s="43"/>
      <c r="AA518" s="43"/>
      <c r="AB518" s="43"/>
      <c r="AC518" s="43"/>
      <c r="AD518" s="43"/>
    </row>
    <row r="519">
      <c r="A519" s="43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4"/>
      <c r="P519" s="62"/>
      <c r="Q519" s="62"/>
      <c r="R519" s="62"/>
      <c r="S519" s="62"/>
      <c r="T519" s="62"/>
      <c r="U519" s="62"/>
      <c r="V519" s="62"/>
      <c r="W519" s="62"/>
      <c r="X519" s="62"/>
      <c r="Y519" s="43"/>
      <c r="Z519" s="43"/>
      <c r="AA519" s="43"/>
      <c r="AB519" s="43"/>
      <c r="AC519" s="43"/>
      <c r="AD519" s="43"/>
    </row>
    <row r="520">
      <c r="A520" s="43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4"/>
      <c r="P520" s="62"/>
      <c r="Q520" s="62"/>
      <c r="R520" s="62"/>
      <c r="S520" s="62"/>
      <c r="T520" s="62"/>
      <c r="U520" s="62"/>
      <c r="V520" s="62"/>
      <c r="W520" s="62"/>
      <c r="X520" s="62"/>
      <c r="Y520" s="43"/>
      <c r="Z520" s="43"/>
      <c r="AA520" s="43"/>
      <c r="AB520" s="43"/>
      <c r="AC520" s="43"/>
      <c r="AD520" s="43"/>
    </row>
    <row r="521">
      <c r="A521" s="43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4"/>
      <c r="P521" s="62"/>
      <c r="Q521" s="62"/>
      <c r="R521" s="62"/>
      <c r="S521" s="62"/>
      <c r="T521" s="62"/>
      <c r="U521" s="62"/>
      <c r="V521" s="62"/>
      <c r="W521" s="62"/>
      <c r="X521" s="62"/>
      <c r="Y521" s="43"/>
      <c r="Z521" s="43"/>
      <c r="AA521" s="43"/>
      <c r="AB521" s="43"/>
      <c r="AC521" s="43"/>
      <c r="AD521" s="43"/>
    </row>
    <row r="522">
      <c r="A522" s="43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4"/>
      <c r="P522" s="62"/>
      <c r="Q522" s="62"/>
      <c r="R522" s="62"/>
      <c r="S522" s="62"/>
      <c r="T522" s="62"/>
      <c r="U522" s="62"/>
      <c r="V522" s="62"/>
      <c r="W522" s="62"/>
      <c r="X522" s="62"/>
      <c r="Y522" s="43"/>
      <c r="Z522" s="43"/>
      <c r="AA522" s="43"/>
      <c r="AB522" s="43"/>
      <c r="AC522" s="43"/>
      <c r="AD522" s="43"/>
    </row>
    <row r="523">
      <c r="A523" s="43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4"/>
      <c r="P523" s="62"/>
      <c r="Q523" s="62"/>
      <c r="R523" s="62"/>
      <c r="S523" s="62"/>
      <c r="T523" s="62"/>
      <c r="U523" s="62"/>
      <c r="V523" s="62"/>
      <c r="W523" s="62"/>
      <c r="X523" s="62"/>
      <c r="Y523" s="43"/>
      <c r="Z523" s="43"/>
      <c r="AA523" s="43"/>
      <c r="AB523" s="43"/>
      <c r="AC523" s="43"/>
      <c r="AD523" s="43"/>
    </row>
    <row r="524">
      <c r="A524" s="43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4"/>
      <c r="P524" s="62"/>
      <c r="Q524" s="62"/>
      <c r="R524" s="62"/>
      <c r="S524" s="62"/>
      <c r="T524" s="62"/>
      <c r="U524" s="62"/>
      <c r="V524" s="62"/>
      <c r="W524" s="62"/>
      <c r="X524" s="62"/>
      <c r="Y524" s="43"/>
      <c r="Z524" s="43"/>
      <c r="AA524" s="43"/>
      <c r="AB524" s="43"/>
      <c r="AC524" s="43"/>
      <c r="AD524" s="43"/>
    </row>
    <row r="525">
      <c r="A525" s="43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4"/>
      <c r="P525" s="62"/>
      <c r="Q525" s="62"/>
      <c r="R525" s="62"/>
      <c r="S525" s="62"/>
      <c r="T525" s="62"/>
      <c r="U525" s="62"/>
      <c r="V525" s="62"/>
      <c r="W525" s="62"/>
      <c r="X525" s="62"/>
      <c r="Y525" s="43"/>
      <c r="Z525" s="43"/>
      <c r="AA525" s="43"/>
      <c r="AB525" s="43"/>
      <c r="AC525" s="43"/>
      <c r="AD525" s="43"/>
    </row>
    <row r="526">
      <c r="A526" s="43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4"/>
      <c r="P526" s="62"/>
      <c r="Q526" s="62"/>
      <c r="R526" s="62"/>
      <c r="S526" s="62"/>
      <c r="T526" s="62"/>
      <c r="U526" s="62"/>
      <c r="V526" s="62"/>
      <c r="W526" s="62"/>
      <c r="X526" s="62"/>
      <c r="Y526" s="43"/>
      <c r="Z526" s="43"/>
      <c r="AA526" s="43"/>
      <c r="AB526" s="43"/>
      <c r="AC526" s="43"/>
      <c r="AD526" s="43"/>
    </row>
    <row r="527">
      <c r="A527" s="43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4"/>
      <c r="P527" s="62"/>
      <c r="Q527" s="62"/>
      <c r="R527" s="62"/>
      <c r="S527" s="62"/>
      <c r="T527" s="62"/>
      <c r="U527" s="62"/>
      <c r="V527" s="62"/>
      <c r="W527" s="62"/>
      <c r="X527" s="62"/>
      <c r="Y527" s="43"/>
      <c r="Z527" s="43"/>
      <c r="AA527" s="43"/>
      <c r="AB527" s="43"/>
      <c r="AC527" s="43"/>
      <c r="AD527" s="43"/>
    </row>
    <row r="528">
      <c r="A528" s="43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4"/>
      <c r="P528" s="62"/>
      <c r="Q528" s="62"/>
      <c r="R528" s="62"/>
      <c r="S528" s="62"/>
      <c r="T528" s="62"/>
      <c r="U528" s="62"/>
      <c r="V528" s="62"/>
      <c r="W528" s="62"/>
      <c r="X528" s="62"/>
      <c r="Y528" s="43"/>
      <c r="Z528" s="43"/>
      <c r="AA528" s="43"/>
      <c r="AB528" s="43"/>
      <c r="AC528" s="43"/>
      <c r="AD528" s="43"/>
    </row>
    <row r="529">
      <c r="A529" s="43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4"/>
      <c r="P529" s="62"/>
      <c r="Q529" s="62"/>
      <c r="R529" s="62"/>
      <c r="S529" s="62"/>
      <c r="T529" s="62"/>
      <c r="U529" s="62"/>
      <c r="V529" s="62"/>
      <c r="W529" s="62"/>
      <c r="X529" s="62"/>
      <c r="Y529" s="43"/>
      <c r="Z529" s="43"/>
      <c r="AA529" s="43"/>
      <c r="AB529" s="43"/>
      <c r="AC529" s="43"/>
      <c r="AD529" s="43"/>
    </row>
    <row r="530">
      <c r="A530" s="43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4"/>
      <c r="P530" s="62"/>
      <c r="Q530" s="62"/>
      <c r="R530" s="62"/>
      <c r="S530" s="62"/>
      <c r="T530" s="62"/>
      <c r="U530" s="62"/>
      <c r="V530" s="62"/>
      <c r="W530" s="62"/>
      <c r="X530" s="62"/>
      <c r="Y530" s="43"/>
      <c r="Z530" s="43"/>
      <c r="AA530" s="43"/>
      <c r="AB530" s="43"/>
      <c r="AC530" s="43"/>
      <c r="AD530" s="43"/>
    </row>
    <row r="531">
      <c r="A531" s="43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4"/>
      <c r="P531" s="62"/>
      <c r="Q531" s="62"/>
      <c r="R531" s="62"/>
      <c r="S531" s="62"/>
      <c r="T531" s="62"/>
      <c r="U531" s="62"/>
      <c r="V531" s="62"/>
      <c r="W531" s="62"/>
      <c r="X531" s="62"/>
      <c r="Y531" s="43"/>
      <c r="Z531" s="43"/>
      <c r="AA531" s="43"/>
      <c r="AB531" s="43"/>
      <c r="AC531" s="43"/>
      <c r="AD531" s="43"/>
    </row>
    <row r="532">
      <c r="A532" s="43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4"/>
      <c r="P532" s="62"/>
      <c r="Q532" s="62"/>
      <c r="R532" s="62"/>
      <c r="S532" s="62"/>
      <c r="T532" s="62"/>
      <c r="U532" s="62"/>
      <c r="V532" s="62"/>
      <c r="W532" s="62"/>
      <c r="X532" s="62"/>
      <c r="Y532" s="43"/>
      <c r="Z532" s="43"/>
      <c r="AA532" s="43"/>
      <c r="AB532" s="43"/>
      <c r="AC532" s="43"/>
      <c r="AD532" s="43"/>
    </row>
    <row r="533">
      <c r="A533" s="43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4"/>
      <c r="P533" s="62"/>
      <c r="Q533" s="62"/>
      <c r="R533" s="62"/>
      <c r="S533" s="62"/>
      <c r="T533" s="62"/>
      <c r="U533" s="62"/>
      <c r="V533" s="62"/>
      <c r="W533" s="62"/>
      <c r="X533" s="62"/>
      <c r="Y533" s="43"/>
      <c r="Z533" s="43"/>
      <c r="AA533" s="43"/>
      <c r="AB533" s="43"/>
      <c r="AC533" s="43"/>
      <c r="AD533" s="43"/>
    </row>
    <row r="534">
      <c r="A534" s="43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4"/>
      <c r="P534" s="62"/>
      <c r="Q534" s="62"/>
      <c r="R534" s="62"/>
      <c r="S534" s="62"/>
      <c r="T534" s="62"/>
      <c r="U534" s="62"/>
      <c r="V534" s="62"/>
      <c r="W534" s="62"/>
      <c r="X534" s="62"/>
      <c r="Y534" s="43"/>
      <c r="Z534" s="43"/>
      <c r="AA534" s="43"/>
      <c r="AB534" s="43"/>
      <c r="AC534" s="43"/>
      <c r="AD534" s="43"/>
    </row>
    <row r="535">
      <c r="A535" s="43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4"/>
      <c r="P535" s="62"/>
      <c r="Q535" s="62"/>
      <c r="R535" s="62"/>
      <c r="S535" s="62"/>
      <c r="T535" s="62"/>
      <c r="U535" s="62"/>
      <c r="V535" s="62"/>
      <c r="W535" s="62"/>
      <c r="X535" s="62"/>
      <c r="Y535" s="43"/>
      <c r="Z535" s="43"/>
      <c r="AA535" s="43"/>
      <c r="AB535" s="43"/>
      <c r="AC535" s="43"/>
      <c r="AD535" s="43"/>
    </row>
    <row r="536">
      <c r="A536" s="43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4"/>
      <c r="P536" s="62"/>
      <c r="Q536" s="62"/>
      <c r="R536" s="62"/>
      <c r="S536" s="62"/>
      <c r="T536" s="62"/>
      <c r="U536" s="62"/>
      <c r="V536" s="62"/>
      <c r="W536" s="62"/>
      <c r="X536" s="62"/>
      <c r="Y536" s="43"/>
      <c r="Z536" s="43"/>
      <c r="AA536" s="43"/>
      <c r="AB536" s="43"/>
      <c r="AC536" s="43"/>
      <c r="AD536" s="43"/>
    </row>
    <row r="537">
      <c r="A537" s="43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4"/>
      <c r="P537" s="62"/>
      <c r="Q537" s="62"/>
      <c r="R537" s="62"/>
      <c r="S537" s="62"/>
      <c r="T537" s="62"/>
      <c r="U537" s="62"/>
      <c r="V537" s="62"/>
      <c r="W537" s="62"/>
      <c r="X537" s="62"/>
      <c r="Y537" s="43"/>
      <c r="Z537" s="43"/>
      <c r="AA537" s="43"/>
      <c r="AB537" s="43"/>
      <c r="AC537" s="43"/>
      <c r="AD537" s="43"/>
    </row>
    <row r="538">
      <c r="A538" s="43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4"/>
      <c r="P538" s="62"/>
      <c r="Q538" s="62"/>
      <c r="R538" s="62"/>
      <c r="S538" s="62"/>
      <c r="T538" s="62"/>
      <c r="U538" s="62"/>
      <c r="V538" s="62"/>
      <c r="W538" s="62"/>
      <c r="X538" s="62"/>
      <c r="Y538" s="43"/>
      <c r="Z538" s="43"/>
      <c r="AA538" s="43"/>
      <c r="AB538" s="43"/>
      <c r="AC538" s="43"/>
      <c r="AD538" s="43"/>
    </row>
    <row r="539">
      <c r="A539" s="43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4"/>
      <c r="P539" s="62"/>
      <c r="Q539" s="62"/>
      <c r="R539" s="62"/>
      <c r="S539" s="62"/>
      <c r="T539" s="62"/>
      <c r="U539" s="62"/>
      <c r="V539" s="62"/>
      <c r="W539" s="62"/>
      <c r="X539" s="62"/>
      <c r="Y539" s="43"/>
      <c r="Z539" s="43"/>
      <c r="AA539" s="43"/>
      <c r="AB539" s="43"/>
      <c r="AC539" s="43"/>
      <c r="AD539" s="43"/>
    </row>
    <row r="540">
      <c r="A540" s="43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4"/>
      <c r="P540" s="62"/>
      <c r="Q540" s="62"/>
      <c r="R540" s="62"/>
      <c r="S540" s="62"/>
      <c r="T540" s="62"/>
      <c r="U540" s="62"/>
      <c r="V540" s="62"/>
      <c r="W540" s="62"/>
      <c r="X540" s="62"/>
      <c r="Y540" s="43"/>
      <c r="Z540" s="43"/>
      <c r="AA540" s="43"/>
      <c r="AB540" s="43"/>
      <c r="AC540" s="43"/>
      <c r="AD540" s="43"/>
    </row>
    <row r="541">
      <c r="A541" s="43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4"/>
      <c r="P541" s="62"/>
      <c r="Q541" s="62"/>
      <c r="R541" s="62"/>
      <c r="S541" s="62"/>
      <c r="T541" s="62"/>
      <c r="U541" s="62"/>
      <c r="V541" s="62"/>
      <c r="W541" s="62"/>
      <c r="X541" s="62"/>
      <c r="Y541" s="43"/>
      <c r="Z541" s="43"/>
      <c r="AA541" s="43"/>
      <c r="AB541" s="43"/>
      <c r="AC541" s="43"/>
      <c r="AD541" s="43"/>
    </row>
    <row r="542">
      <c r="A542" s="43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4"/>
      <c r="P542" s="62"/>
      <c r="Q542" s="62"/>
      <c r="R542" s="62"/>
      <c r="S542" s="62"/>
      <c r="T542" s="62"/>
      <c r="U542" s="62"/>
      <c r="V542" s="62"/>
      <c r="W542" s="62"/>
      <c r="X542" s="62"/>
      <c r="Y542" s="43"/>
      <c r="Z542" s="43"/>
      <c r="AA542" s="43"/>
      <c r="AB542" s="43"/>
      <c r="AC542" s="43"/>
      <c r="AD542" s="43"/>
    </row>
    <row r="543">
      <c r="A543" s="43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4"/>
      <c r="P543" s="62"/>
      <c r="Q543" s="62"/>
      <c r="R543" s="62"/>
      <c r="S543" s="62"/>
      <c r="T543" s="62"/>
      <c r="U543" s="62"/>
      <c r="V543" s="62"/>
      <c r="W543" s="62"/>
      <c r="X543" s="62"/>
      <c r="Y543" s="43"/>
      <c r="Z543" s="43"/>
      <c r="AA543" s="43"/>
      <c r="AB543" s="43"/>
      <c r="AC543" s="43"/>
      <c r="AD543" s="43"/>
    </row>
    <row r="544">
      <c r="A544" s="43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4"/>
      <c r="P544" s="62"/>
      <c r="Q544" s="62"/>
      <c r="R544" s="62"/>
      <c r="S544" s="62"/>
      <c r="T544" s="62"/>
      <c r="U544" s="62"/>
      <c r="V544" s="62"/>
      <c r="W544" s="62"/>
      <c r="X544" s="62"/>
      <c r="Y544" s="43"/>
      <c r="Z544" s="43"/>
      <c r="AA544" s="43"/>
      <c r="AB544" s="43"/>
      <c r="AC544" s="43"/>
      <c r="AD544" s="43"/>
    </row>
    <row r="545">
      <c r="A545" s="43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4"/>
      <c r="P545" s="62"/>
      <c r="Q545" s="62"/>
      <c r="R545" s="62"/>
      <c r="S545" s="62"/>
      <c r="T545" s="62"/>
      <c r="U545" s="62"/>
      <c r="V545" s="62"/>
      <c r="W545" s="62"/>
      <c r="X545" s="62"/>
      <c r="Y545" s="43"/>
      <c r="Z545" s="43"/>
      <c r="AA545" s="43"/>
      <c r="AB545" s="43"/>
      <c r="AC545" s="43"/>
      <c r="AD545" s="43"/>
    </row>
    <row r="546">
      <c r="A546" s="43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4"/>
      <c r="P546" s="62"/>
      <c r="Q546" s="62"/>
      <c r="R546" s="62"/>
      <c r="S546" s="62"/>
      <c r="T546" s="62"/>
      <c r="U546" s="62"/>
      <c r="V546" s="62"/>
      <c r="W546" s="62"/>
      <c r="X546" s="62"/>
      <c r="Y546" s="43"/>
      <c r="Z546" s="43"/>
      <c r="AA546" s="43"/>
      <c r="AB546" s="43"/>
      <c r="AC546" s="43"/>
      <c r="AD546" s="43"/>
    </row>
    <row r="547">
      <c r="A547" s="43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4"/>
      <c r="P547" s="62"/>
      <c r="Q547" s="62"/>
      <c r="R547" s="62"/>
      <c r="S547" s="62"/>
      <c r="T547" s="62"/>
      <c r="U547" s="62"/>
      <c r="V547" s="62"/>
      <c r="W547" s="62"/>
      <c r="X547" s="62"/>
      <c r="Y547" s="43"/>
      <c r="Z547" s="43"/>
      <c r="AA547" s="43"/>
      <c r="AB547" s="43"/>
      <c r="AC547" s="43"/>
      <c r="AD547" s="43"/>
    </row>
    <row r="548">
      <c r="A548" s="43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4"/>
      <c r="P548" s="62"/>
      <c r="Q548" s="62"/>
      <c r="R548" s="62"/>
      <c r="S548" s="62"/>
      <c r="T548" s="62"/>
      <c r="U548" s="62"/>
      <c r="V548" s="62"/>
      <c r="W548" s="62"/>
      <c r="X548" s="62"/>
      <c r="Y548" s="43"/>
      <c r="Z548" s="43"/>
      <c r="AA548" s="43"/>
      <c r="AB548" s="43"/>
      <c r="AC548" s="43"/>
      <c r="AD548" s="43"/>
    </row>
    <row r="549">
      <c r="A549" s="43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4"/>
      <c r="P549" s="62"/>
      <c r="Q549" s="62"/>
      <c r="R549" s="62"/>
      <c r="S549" s="62"/>
      <c r="T549" s="62"/>
      <c r="U549" s="62"/>
      <c r="V549" s="62"/>
      <c r="W549" s="62"/>
      <c r="X549" s="62"/>
      <c r="Y549" s="43"/>
      <c r="Z549" s="43"/>
      <c r="AA549" s="43"/>
      <c r="AB549" s="43"/>
      <c r="AC549" s="43"/>
      <c r="AD549" s="43"/>
    </row>
    <row r="550">
      <c r="A550" s="43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4"/>
      <c r="P550" s="62"/>
      <c r="Q550" s="62"/>
      <c r="R550" s="62"/>
      <c r="S550" s="62"/>
      <c r="T550" s="62"/>
      <c r="U550" s="62"/>
      <c r="V550" s="62"/>
      <c r="W550" s="62"/>
      <c r="X550" s="62"/>
      <c r="Y550" s="43"/>
      <c r="Z550" s="43"/>
      <c r="AA550" s="43"/>
      <c r="AB550" s="43"/>
      <c r="AC550" s="43"/>
      <c r="AD550" s="43"/>
    </row>
    <row r="551">
      <c r="A551" s="43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4"/>
      <c r="P551" s="62"/>
      <c r="Q551" s="62"/>
      <c r="R551" s="62"/>
      <c r="S551" s="62"/>
      <c r="T551" s="62"/>
      <c r="U551" s="62"/>
      <c r="V551" s="62"/>
      <c r="W551" s="62"/>
      <c r="X551" s="62"/>
      <c r="Y551" s="43"/>
      <c r="Z551" s="43"/>
      <c r="AA551" s="43"/>
      <c r="AB551" s="43"/>
      <c r="AC551" s="43"/>
      <c r="AD551" s="43"/>
    </row>
    <row r="552">
      <c r="A552" s="43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4"/>
      <c r="P552" s="62"/>
      <c r="Q552" s="62"/>
      <c r="R552" s="62"/>
      <c r="S552" s="62"/>
      <c r="T552" s="62"/>
      <c r="U552" s="62"/>
      <c r="V552" s="62"/>
      <c r="W552" s="62"/>
      <c r="X552" s="62"/>
      <c r="Y552" s="43"/>
      <c r="Z552" s="43"/>
      <c r="AA552" s="43"/>
      <c r="AB552" s="43"/>
      <c r="AC552" s="43"/>
      <c r="AD552" s="43"/>
    </row>
    <row r="553">
      <c r="A553" s="43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4"/>
      <c r="P553" s="62"/>
      <c r="Q553" s="62"/>
      <c r="R553" s="62"/>
      <c r="S553" s="62"/>
      <c r="T553" s="62"/>
      <c r="U553" s="62"/>
      <c r="V553" s="62"/>
      <c r="W553" s="62"/>
      <c r="X553" s="62"/>
      <c r="Y553" s="43"/>
      <c r="Z553" s="43"/>
      <c r="AA553" s="43"/>
      <c r="AB553" s="43"/>
      <c r="AC553" s="43"/>
      <c r="AD553" s="43"/>
    </row>
    <row r="554">
      <c r="A554" s="43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4"/>
      <c r="P554" s="62"/>
      <c r="Q554" s="62"/>
      <c r="R554" s="62"/>
      <c r="S554" s="62"/>
      <c r="T554" s="62"/>
      <c r="U554" s="62"/>
      <c r="V554" s="62"/>
      <c r="W554" s="62"/>
      <c r="X554" s="62"/>
      <c r="Y554" s="43"/>
      <c r="Z554" s="43"/>
      <c r="AA554" s="43"/>
      <c r="AB554" s="43"/>
      <c r="AC554" s="43"/>
      <c r="AD554" s="43"/>
    </row>
    <row r="555">
      <c r="A555" s="43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4"/>
      <c r="P555" s="62"/>
      <c r="Q555" s="62"/>
      <c r="R555" s="62"/>
      <c r="S555" s="62"/>
      <c r="T555" s="62"/>
      <c r="U555" s="62"/>
      <c r="V555" s="62"/>
      <c r="W555" s="62"/>
      <c r="X555" s="62"/>
      <c r="Y555" s="43"/>
      <c r="Z555" s="43"/>
      <c r="AA555" s="43"/>
      <c r="AB555" s="43"/>
      <c r="AC555" s="43"/>
      <c r="AD555" s="43"/>
    </row>
    <row r="556">
      <c r="A556" s="43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4"/>
      <c r="P556" s="62"/>
      <c r="Q556" s="62"/>
      <c r="R556" s="62"/>
      <c r="S556" s="62"/>
      <c r="T556" s="62"/>
      <c r="U556" s="62"/>
      <c r="V556" s="62"/>
      <c r="W556" s="62"/>
      <c r="X556" s="62"/>
      <c r="Y556" s="43"/>
      <c r="Z556" s="43"/>
      <c r="AA556" s="43"/>
      <c r="AB556" s="43"/>
      <c r="AC556" s="43"/>
      <c r="AD556" s="43"/>
    </row>
    <row r="557">
      <c r="A557" s="43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4"/>
      <c r="P557" s="62"/>
      <c r="Q557" s="62"/>
      <c r="R557" s="62"/>
      <c r="S557" s="62"/>
      <c r="T557" s="62"/>
      <c r="U557" s="62"/>
      <c r="V557" s="62"/>
      <c r="W557" s="62"/>
      <c r="X557" s="62"/>
      <c r="Y557" s="43"/>
      <c r="Z557" s="43"/>
      <c r="AA557" s="43"/>
      <c r="AB557" s="43"/>
      <c r="AC557" s="43"/>
      <c r="AD557" s="43"/>
    </row>
    <row r="558">
      <c r="A558" s="43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4"/>
      <c r="P558" s="62"/>
      <c r="Q558" s="62"/>
      <c r="R558" s="62"/>
      <c r="S558" s="62"/>
      <c r="T558" s="62"/>
      <c r="U558" s="62"/>
      <c r="V558" s="62"/>
      <c r="W558" s="62"/>
      <c r="X558" s="62"/>
      <c r="Y558" s="43"/>
      <c r="Z558" s="43"/>
      <c r="AA558" s="43"/>
      <c r="AB558" s="43"/>
      <c r="AC558" s="43"/>
      <c r="AD558" s="43"/>
    </row>
    <row r="559">
      <c r="A559" s="43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4"/>
      <c r="P559" s="62"/>
      <c r="Q559" s="62"/>
      <c r="R559" s="62"/>
      <c r="S559" s="62"/>
      <c r="T559" s="62"/>
      <c r="U559" s="62"/>
      <c r="V559" s="62"/>
      <c r="W559" s="62"/>
      <c r="X559" s="62"/>
      <c r="Y559" s="43"/>
      <c r="Z559" s="43"/>
      <c r="AA559" s="43"/>
      <c r="AB559" s="43"/>
      <c r="AC559" s="43"/>
      <c r="AD559" s="43"/>
    </row>
    <row r="560">
      <c r="A560" s="43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4"/>
      <c r="P560" s="62"/>
      <c r="Q560" s="62"/>
      <c r="R560" s="62"/>
      <c r="S560" s="62"/>
      <c r="T560" s="62"/>
      <c r="U560" s="62"/>
      <c r="V560" s="62"/>
      <c r="W560" s="62"/>
      <c r="X560" s="62"/>
      <c r="Y560" s="43"/>
      <c r="Z560" s="43"/>
      <c r="AA560" s="43"/>
      <c r="AB560" s="43"/>
      <c r="AC560" s="43"/>
      <c r="AD560" s="43"/>
    </row>
    <row r="561">
      <c r="A561" s="43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4"/>
      <c r="P561" s="62"/>
      <c r="Q561" s="62"/>
      <c r="R561" s="62"/>
      <c r="S561" s="62"/>
      <c r="T561" s="62"/>
      <c r="U561" s="62"/>
      <c r="V561" s="62"/>
      <c r="W561" s="62"/>
      <c r="X561" s="62"/>
      <c r="Y561" s="43"/>
      <c r="Z561" s="43"/>
      <c r="AA561" s="43"/>
      <c r="AB561" s="43"/>
      <c r="AC561" s="43"/>
      <c r="AD561" s="43"/>
    </row>
    <row r="562">
      <c r="A562" s="43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4"/>
      <c r="P562" s="62"/>
      <c r="Q562" s="62"/>
      <c r="R562" s="62"/>
      <c r="S562" s="62"/>
      <c r="T562" s="62"/>
      <c r="U562" s="62"/>
      <c r="V562" s="62"/>
      <c r="W562" s="62"/>
      <c r="X562" s="62"/>
      <c r="Y562" s="43"/>
      <c r="Z562" s="43"/>
      <c r="AA562" s="43"/>
      <c r="AB562" s="43"/>
      <c r="AC562" s="43"/>
      <c r="AD562" s="43"/>
    </row>
    <row r="563">
      <c r="A563" s="43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4"/>
      <c r="P563" s="62"/>
      <c r="Q563" s="62"/>
      <c r="R563" s="62"/>
      <c r="S563" s="62"/>
      <c r="T563" s="62"/>
      <c r="U563" s="62"/>
      <c r="V563" s="62"/>
      <c r="W563" s="62"/>
      <c r="X563" s="62"/>
      <c r="Y563" s="43"/>
      <c r="Z563" s="43"/>
      <c r="AA563" s="43"/>
      <c r="AB563" s="43"/>
      <c r="AC563" s="43"/>
      <c r="AD563" s="43"/>
    </row>
    <row r="564">
      <c r="A564" s="43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4"/>
      <c r="P564" s="62"/>
      <c r="Q564" s="62"/>
      <c r="R564" s="62"/>
      <c r="S564" s="62"/>
      <c r="T564" s="62"/>
      <c r="U564" s="62"/>
      <c r="V564" s="62"/>
      <c r="W564" s="62"/>
      <c r="X564" s="62"/>
      <c r="Y564" s="43"/>
      <c r="Z564" s="43"/>
      <c r="AA564" s="43"/>
      <c r="AB564" s="43"/>
      <c r="AC564" s="43"/>
      <c r="AD564" s="43"/>
    </row>
    <row r="565">
      <c r="A565" s="43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4"/>
      <c r="P565" s="62"/>
      <c r="Q565" s="62"/>
      <c r="R565" s="62"/>
      <c r="S565" s="62"/>
      <c r="T565" s="62"/>
      <c r="U565" s="62"/>
      <c r="V565" s="62"/>
      <c r="W565" s="62"/>
      <c r="X565" s="62"/>
      <c r="Y565" s="43"/>
      <c r="Z565" s="43"/>
      <c r="AA565" s="43"/>
      <c r="AB565" s="43"/>
      <c r="AC565" s="43"/>
      <c r="AD565" s="43"/>
    </row>
    <row r="566">
      <c r="A566" s="43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4"/>
      <c r="P566" s="62"/>
      <c r="Q566" s="62"/>
      <c r="R566" s="62"/>
      <c r="S566" s="62"/>
      <c r="T566" s="62"/>
      <c r="U566" s="62"/>
      <c r="V566" s="62"/>
      <c r="W566" s="62"/>
      <c r="X566" s="62"/>
      <c r="Y566" s="43"/>
      <c r="Z566" s="43"/>
      <c r="AA566" s="43"/>
      <c r="AB566" s="43"/>
      <c r="AC566" s="43"/>
      <c r="AD566" s="43"/>
    </row>
    <row r="567">
      <c r="A567" s="43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4"/>
      <c r="P567" s="62"/>
      <c r="Q567" s="62"/>
      <c r="R567" s="62"/>
      <c r="S567" s="62"/>
      <c r="T567" s="62"/>
      <c r="U567" s="62"/>
      <c r="V567" s="62"/>
      <c r="W567" s="62"/>
      <c r="X567" s="62"/>
      <c r="Y567" s="43"/>
      <c r="Z567" s="43"/>
      <c r="AA567" s="43"/>
      <c r="AB567" s="43"/>
      <c r="AC567" s="43"/>
      <c r="AD567" s="43"/>
    </row>
    <row r="568">
      <c r="A568" s="43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4"/>
      <c r="P568" s="62"/>
      <c r="Q568" s="62"/>
      <c r="R568" s="62"/>
      <c r="S568" s="62"/>
      <c r="T568" s="62"/>
      <c r="U568" s="62"/>
      <c r="V568" s="62"/>
      <c r="W568" s="62"/>
      <c r="X568" s="62"/>
      <c r="Y568" s="43"/>
      <c r="Z568" s="43"/>
      <c r="AA568" s="43"/>
      <c r="AB568" s="43"/>
      <c r="AC568" s="43"/>
      <c r="AD568" s="43"/>
    </row>
    <row r="569">
      <c r="A569" s="43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4"/>
      <c r="P569" s="62"/>
      <c r="Q569" s="62"/>
      <c r="R569" s="62"/>
      <c r="S569" s="62"/>
      <c r="T569" s="62"/>
      <c r="U569" s="62"/>
      <c r="V569" s="62"/>
      <c r="W569" s="62"/>
      <c r="X569" s="62"/>
      <c r="Y569" s="43"/>
      <c r="Z569" s="43"/>
      <c r="AA569" s="43"/>
      <c r="AB569" s="43"/>
      <c r="AC569" s="43"/>
      <c r="AD569" s="43"/>
    </row>
    <row r="570">
      <c r="A570" s="43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4"/>
      <c r="P570" s="62"/>
      <c r="Q570" s="62"/>
      <c r="R570" s="62"/>
      <c r="S570" s="62"/>
      <c r="T570" s="62"/>
      <c r="U570" s="62"/>
      <c r="V570" s="62"/>
      <c r="W570" s="62"/>
      <c r="X570" s="62"/>
      <c r="Y570" s="43"/>
      <c r="Z570" s="43"/>
      <c r="AA570" s="43"/>
      <c r="AB570" s="43"/>
      <c r="AC570" s="43"/>
      <c r="AD570" s="43"/>
    </row>
    <row r="571">
      <c r="A571" s="43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4"/>
      <c r="P571" s="62"/>
      <c r="Q571" s="62"/>
      <c r="R571" s="62"/>
      <c r="S571" s="62"/>
      <c r="T571" s="62"/>
      <c r="U571" s="62"/>
      <c r="V571" s="62"/>
      <c r="W571" s="62"/>
      <c r="X571" s="62"/>
      <c r="Y571" s="43"/>
      <c r="Z571" s="43"/>
      <c r="AA571" s="43"/>
      <c r="AB571" s="43"/>
      <c r="AC571" s="43"/>
      <c r="AD571" s="43"/>
    </row>
    <row r="572">
      <c r="A572" s="43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4"/>
      <c r="P572" s="62"/>
      <c r="Q572" s="62"/>
      <c r="R572" s="62"/>
      <c r="S572" s="62"/>
      <c r="T572" s="62"/>
      <c r="U572" s="62"/>
      <c r="V572" s="62"/>
      <c r="W572" s="62"/>
      <c r="X572" s="62"/>
      <c r="Y572" s="43"/>
      <c r="Z572" s="43"/>
      <c r="AA572" s="43"/>
      <c r="AB572" s="43"/>
      <c r="AC572" s="43"/>
      <c r="AD572" s="43"/>
    </row>
    <row r="573">
      <c r="A573" s="43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4"/>
      <c r="P573" s="62"/>
      <c r="Q573" s="62"/>
      <c r="R573" s="62"/>
      <c r="S573" s="62"/>
      <c r="T573" s="62"/>
      <c r="U573" s="62"/>
      <c r="V573" s="62"/>
      <c r="W573" s="62"/>
      <c r="X573" s="62"/>
      <c r="Y573" s="43"/>
      <c r="Z573" s="43"/>
      <c r="AA573" s="43"/>
      <c r="AB573" s="43"/>
      <c r="AC573" s="43"/>
      <c r="AD573" s="43"/>
    </row>
    <row r="574">
      <c r="A574" s="43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4"/>
      <c r="P574" s="62"/>
      <c r="Q574" s="62"/>
      <c r="R574" s="62"/>
      <c r="S574" s="62"/>
      <c r="T574" s="62"/>
      <c r="U574" s="62"/>
      <c r="V574" s="62"/>
      <c r="W574" s="62"/>
      <c r="X574" s="62"/>
      <c r="Y574" s="43"/>
      <c r="Z574" s="43"/>
      <c r="AA574" s="43"/>
      <c r="AB574" s="43"/>
      <c r="AC574" s="43"/>
      <c r="AD574" s="43"/>
    </row>
    <row r="575">
      <c r="A575" s="43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4"/>
      <c r="P575" s="62"/>
      <c r="Q575" s="62"/>
      <c r="R575" s="62"/>
      <c r="S575" s="62"/>
      <c r="T575" s="62"/>
      <c r="U575" s="62"/>
      <c r="V575" s="62"/>
      <c r="W575" s="62"/>
      <c r="X575" s="62"/>
      <c r="Y575" s="43"/>
      <c r="Z575" s="43"/>
      <c r="AA575" s="43"/>
      <c r="AB575" s="43"/>
      <c r="AC575" s="43"/>
      <c r="AD575" s="43"/>
    </row>
    <row r="576">
      <c r="A576" s="43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4"/>
      <c r="P576" s="62"/>
      <c r="Q576" s="62"/>
      <c r="R576" s="62"/>
      <c r="S576" s="62"/>
      <c r="T576" s="62"/>
      <c r="U576" s="62"/>
      <c r="V576" s="62"/>
      <c r="W576" s="62"/>
      <c r="X576" s="62"/>
      <c r="Y576" s="43"/>
      <c r="Z576" s="43"/>
      <c r="AA576" s="43"/>
      <c r="AB576" s="43"/>
      <c r="AC576" s="43"/>
      <c r="AD576" s="43"/>
    </row>
    <row r="577">
      <c r="A577" s="43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4"/>
      <c r="P577" s="62"/>
      <c r="Q577" s="62"/>
      <c r="R577" s="62"/>
      <c r="S577" s="62"/>
      <c r="T577" s="62"/>
      <c r="U577" s="62"/>
      <c r="V577" s="62"/>
      <c r="W577" s="62"/>
      <c r="X577" s="62"/>
      <c r="Y577" s="43"/>
      <c r="Z577" s="43"/>
      <c r="AA577" s="43"/>
      <c r="AB577" s="43"/>
      <c r="AC577" s="43"/>
      <c r="AD577" s="43"/>
    </row>
    <row r="578">
      <c r="A578" s="43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4"/>
      <c r="P578" s="62"/>
      <c r="Q578" s="62"/>
      <c r="R578" s="62"/>
      <c r="S578" s="62"/>
      <c r="T578" s="62"/>
      <c r="U578" s="62"/>
      <c r="V578" s="62"/>
      <c r="W578" s="62"/>
      <c r="X578" s="62"/>
      <c r="Y578" s="43"/>
      <c r="Z578" s="43"/>
      <c r="AA578" s="43"/>
      <c r="AB578" s="43"/>
      <c r="AC578" s="43"/>
      <c r="AD578" s="43"/>
    </row>
    <row r="579">
      <c r="A579" s="43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4"/>
      <c r="P579" s="62"/>
      <c r="Q579" s="62"/>
      <c r="R579" s="62"/>
      <c r="S579" s="62"/>
      <c r="T579" s="62"/>
      <c r="U579" s="62"/>
      <c r="V579" s="62"/>
      <c r="W579" s="62"/>
      <c r="X579" s="62"/>
      <c r="Y579" s="43"/>
      <c r="Z579" s="43"/>
      <c r="AA579" s="43"/>
      <c r="AB579" s="43"/>
      <c r="AC579" s="43"/>
      <c r="AD579" s="43"/>
    </row>
    <row r="580">
      <c r="A580" s="43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4"/>
      <c r="P580" s="62"/>
      <c r="Q580" s="62"/>
      <c r="R580" s="62"/>
      <c r="S580" s="62"/>
      <c r="T580" s="62"/>
      <c r="U580" s="62"/>
      <c r="V580" s="62"/>
      <c r="W580" s="62"/>
      <c r="X580" s="62"/>
      <c r="Y580" s="43"/>
      <c r="Z580" s="43"/>
      <c r="AA580" s="43"/>
      <c r="AB580" s="43"/>
      <c r="AC580" s="43"/>
      <c r="AD580" s="43"/>
    </row>
    <row r="581">
      <c r="A581" s="43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4"/>
      <c r="P581" s="62"/>
      <c r="Q581" s="62"/>
      <c r="R581" s="62"/>
      <c r="S581" s="62"/>
      <c r="T581" s="62"/>
      <c r="U581" s="62"/>
      <c r="V581" s="62"/>
      <c r="W581" s="62"/>
      <c r="X581" s="62"/>
      <c r="Y581" s="43"/>
      <c r="Z581" s="43"/>
      <c r="AA581" s="43"/>
      <c r="AB581" s="43"/>
      <c r="AC581" s="43"/>
      <c r="AD581" s="43"/>
    </row>
    <row r="582">
      <c r="A582" s="43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4"/>
      <c r="P582" s="62"/>
      <c r="Q582" s="62"/>
      <c r="R582" s="62"/>
      <c r="S582" s="62"/>
      <c r="T582" s="62"/>
      <c r="U582" s="62"/>
      <c r="V582" s="62"/>
      <c r="W582" s="62"/>
      <c r="X582" s="62"/>
      <c r="Y582" s="43"/>
      <c r="Z582" s="43"/>
      <c r="AA582" s="43"/>
      <c r="AB582" s="43"/>
      <c r="AC582" s="43"/>
      <c r="AD582" s="43"/>
    </row>
    <row r="583">
      <c r="A583" s="43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4"/>
      <c r="P583" s="62"/>
      <c r="Q583" s="62"/>
      <c r="R583" s="62"/>
      <c r="S583" s="62"/>
      <c r="T583" s="62"/>
      <c r="U583" s="62"/>
      <c r="V583" s="62"/>
      <c r="W583" s="62"/>
      <c r="X583" s="62"/>
      <c r="Y583" s="43"/>
      <c r="Z583" s="43"/>
      <c r="AA583" s="43"/>
      <c r="AB583" s="43"/>
      <c r="AC583" s="43"/>
      <c r="AD583" s="43"/>
    </row>
    <row r="584">
      <c r="A584" s="43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4"/>
      <c r="P584" s="62"/>
      <c r="Q584" s="62"/>
      <c r="R584" s="62"/>
      <c r="S584" s="62"/>
      <c r="T584" s="62"/>
      <c r="U584" s="62"/>
      <c r="V584" s="62"/>
      <c r="W584" s="62"/>
      <c r="X584" s="62"/>
      <c r="Y584" s="43"/>
      <c r="Z584" s="43"/>
      <c r="AA584" s="43"/>
      <c r="AB584" s="43"/>
      <c r="AC584" s="43"/>
      <c r="AD584" s="43"/>
    </row>
    <row r="585">
      <c r="A585" s="43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4"/>
      <c r="P585" s="62"/>
      <c r="Q585" s="62"/>
      <c r="R585" s="62"/>
      <c r="S585" s="62"/>
      <c r="T585" s="62"/>
      <c r="U585" s="62"/>
      <c r="V585" s="62"/>
      <c r="W585" s="62"/>
      <c r="X585" s="62"/>
      <c r="Y585" s="43"/>
      <c r="Z585" s="43"/>
      <c r="AA585" s="43"/>
      <c r="AB585" s="43"/>
      <c r="AC585" s="43"/>
      <c r="AD585" s="43"/>
    </row>
    <row r="586">
      <c r="A586" s="43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4"/>
      <c r="P586" s="62"/>
      <c r="Q586" s="62"/>
      <c r="R586" s="62"/>
      <c r="S586" s="62"/>
      <c r="T586" s="62"/>
      <c r="U586" s="62"/>
      <c r="V586" s="62"/>
      <c r="W586" s="62"/>
      <c r="X586" s="62"/>
      <c r="Y586" s="43"/>
      <c r="Z586" s="43"/>
      <c r="AA586" s="43"/>
      <c r="AB586" s="43"/>
      <c r="AC586" s="43"/>
      <c r="AD586" s="43"/>
    </row>
    <row r="587">
      <c r="A587" s="43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4"/>
      <c r="P587" s="62"/>
      <c r="Q587" s="62"/>
      <c r="R587" s="62"/>
      <c r="S587" s="62"/>
      <c r="T587" s="62"/>
      <c r="U587" s="62"/>
      <c r="V587" s="62"/>
      <c r="W587" s="62"/>
      <c r="X587" s="62"/>
      <c r="Y587" s="43"/>
      <c r="Z587" s="43"/>
      <c r="AA587" s="43"/>
      <c r="AB587" s="43"/>
      <c r="AC587" s="43"/>
      <c r="AD587" s="43"/>
    </row>
    <row r="588">
      <c r="A588" s="43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4"/>
      <c r="P588" s="62"/>
      <c r="Q588" s="62"/>
      <c r="R588" s="62"/>
      <c r="S588" s="62"/>
      <c r="T588" s="62"/>
      <c r="U588" s="62"/>
      <c r="V588" s="62"/>
      <c r="W588" s="62"/>
      <c r="X588" s="62"/>
      <c r="Y588" s="43"/>
      <c r="Z588" s="43"/>
      <c r="AA588" s="43"/>
      <c r="AB588" s="43"/>
      <c r="AC588" s="43"/>
      <c r="AD588" s="43"/>
    </row>
    <row r="589">
      <c r="A589" s="43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4"/>
      <c r="P589" s="62"/>
      <c r="Q589" s="62"/>
      <c r="R589" s="62"/>
      <c r="S589" s="62"/>
      <c r="T589" s="62"/>
      <c r="U589" s="62"/>
      <c r="V589" s="62"/>
      <c r="W589" s="62"/>
      <c r="X589" s="62"/>
      <c r="Y589" s="43"/>
      <c r="Z589" s="43"/>
      <c r="AA589" s="43"/>
      <c r="AB589" s="43"/>
      <c r="AC589" s="43"/>
      <c r="AD589" s="43"/>
    </row>
    <row r="590">
      <c r="A590" s="43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4"/>
      <c r="P590" s="62"/>
      <c r="Q590" s="62"/>
      <c r="R590" s="62"/>
      <c r="S590" s="62"/>
      <c r="T590" s="62"/>
      <c r="U590" s="62"/>
      <c r="V590" s="62"/>
      <c r="W590" s="62"/>
      <c r="X590" s="62"/>
      <c r="Y590" s="43"/>
      <c r="Z590" s="43"/>
      <c r="AA590" s="43"/>
      <c r="AB590" s="43"/>
      <c r="AC590" s="43"/>
      <c r="AD590" s="43"/>
    </row>
    <row r="591">
      <c r="A591" s="43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4"/>
      <c r="P591" s="62"/>
      <c r="Q591" s="62"/>
      <c r="R591" s="62"/>
      <c r="S591" s="62"/>
      <c r="T591" s="62"/>
      <c r="U591" s="62"/>
      <c r="V591" s="62"/>
      <c r="W591" s="62"/>
      <c r="X591" s="62"/>
      <c r="Y591" s="43"/>
      <c r="Z591" s="43"/>
      <c r="AA591" s="43"/>
      <c r="AB591" s="43"/>
      <c r="AC591" s="43"/>
      <c r="AD591" s="43"/>
    </row>
    <row r="592">
      <c r="A592" s="43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4"/>
      <c r="P592" s="62"/>
      <c r="Q592" s="62"/>
      <c r="R592" s="62"/>
      <c r="S592" s="62"/>
      <c r="T592" s="62"/>
      <c r="U592" s="62"/>
      <c r="V592" s="62"/>
      <c r="W592" s="62"/>
      <c r="X592" s="62"/>
      <c r="Y592" s="43"/>
      <c r="Z592" s="43"/>
      <c r="AA592" s="43"/>
      <c r="AB592" s="43"/>
      <c r="AC592" s="43"/>
      <c r="AD592" s="43"/>
    </row>
    <row r="593">
      <c r="A593" s="43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4"/>
      <c r="P593" s="62"/>
      <c r="Q593" s="62"/>
      <c r="R593" s="62"/>
      <c r="S593" s="62"/>
      <c r="T593" s="62"/>
      <c r="U593" s="62"/>
      <c r="V593" s="62"/>
      <c r="W593" s="62"/>
      <c r="X593" s="62"/>
      <c r="Y593" s="43"/>
      <c r="Z593" s="43"/>
      <c r="AA593" s="43"/>
      <c r="AB593" s="43"/>
      <c r="AC593" s="43"/>
      <c r="AD593" s="43"/>
    </row>
    <row r="594">
      <c r="A594" s="43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4"/>
      <c r="P594" s="62"/>
      <c r="Q594" s="62"/>
      <c r="R594" s="62"/>
      <c r="S594" s="62"/>
      <c r="T594" s="62"/>
      <c r="U594" s="62"/>
      <c r="V594" s="62"/>
      <c r="W594" s="62"/>
      <c r="X594" s="62"/>
      <c r="Y594" s="43"/>
      <c r="Z594" s="43"/>
      <c r="AA594" s="43"/>
      <c r="AB594" s="43"/>
      <c r="AC594" s="43"/>
      <c r="AD594" s="43"/>
    </row>
    <row r="595">
      <c r="A595" s="43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4"/>
      <c r="P595" s="62"/>
      <c r="Q595" s="62"/>
      <c r="R595" s="62"/>
      <c r="S595" s="62"/>
      <c r="T595" s="62"/>
      <c r="U595" s="62"/>
      <c r="V595" s="62"/>
      <c r="W595" s="62"/>
      <c r="X595" s="62"/>
      <c r="Y595" s="43"/>
      <c r="Z595" s="43"/>
      <c r="AA595" s="43"/>
      <c r="AB595" s="43"/>
      <c r="AC595" s="43"/>
      <c r="AD595" s="43"/>
    </row>
    <row r="596">
      <c r="A596" s="43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4"/>
      <c r="P596" s="62"/>
      <c r="Q596" s="62"/>
      <c r="R596" s="62"/>
      <c r="S596" s="62"/>
      <c r="T596" s="62"/>
      <c r="U596" s="62"/>
      <c r="V596" s="62"/>
      <c r="W596" s="62"/>
      <c r="X596" s="62"/>
      <c r="Y596" s="43"/>
      <c r="Z596" s="43"/>
      <c r="AA596" s="43"/>
      <c r="AB596" s="43"/>
      <c r="AC596" s="43"/>
      <c r="AD596" s="43"/>
    </row>
    <row r="597">
      <c r="A597" s="43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4"/>
      <c r="P597" s="62"/>
      <c r="Q597" s="62"/>
      <c r="R597" s="62"/>
      <c r="S597" s="62"/>
      <c r="T597" s="62"/>
      <c r="U597" s="62"/>
      <c r="V597" s="62"/>
      <c r="W597" s="62"/>
      <c r="X597" s="62"/>
      <c r="Y597" s="43"/>
      <c r="Z597" s="43"/>
      <c r="AA597" s="43"/>
      <c r="AB597" s="43"/>
      <c r="AC597" s="43"/>
      <c r="AD597" s="43"/>
    </row>
    <row r="598">
      <c r="A598" s="43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4"/>
      <c r="P598" s="62"/>
      <c r="Q598" s="62"/>
      <c r="R598" s="62"/>
      <c r="S598" s="62"/>
      <c r="T598" s="62"/>
      <c r="U598" s="62"/>
      <c r="V598" s="62"/>
      <c r="W598" s="62"/>
      <c r="X598" s="62"/>
      <c r="Y598" s="43"/>
      <c r="Z598" s="43"/>
      <c r="AA598" s="43"/>
      <c r="AB598" s="43"/>
      <c r="AC598" s="43"/>
      <c r="AD598" s="43"/>
    </row>
    <row r="599">
      <c r="A599" s="43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4"/>
      <c r="P599" s="62"/>
      <c r="Q599" s="62"/>
      <c r="R599" s="62"/>
      <c r="S599" s="62"/>
      <c r="T599" s="62"/>
      <c r="U599" s="62"/>
      <c r="V599" s="62"/>
      <c r="W599" s="62"/>
      <c r="X599" s="62"/>
      <c r="Y599" s="43"/>
      <c r="Z599" s="43"/>
      <c r="AA599" s="43"/>
      <c r="AB599" s="43"/>
      <c r="AC599" s="43"/>
      <c r="AD599" s="43"/>
    </row>
    <row r="600">
      <c r="A600" s="43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4"/>
      <c r="P600" s="62"/>
      <c r="Q600" s="62"/>
      <c r="R600" s="62"/>
      <c r="S600" s="62"/>
      <c r="T600" s="62"/>
      <c r="U600" s="62"/>
      <c r="V600" s="62"/>
      <c r="W600" s="62"/>
      <c r="X600" s="62"/>
      <c r="Y600" s="43"/>
      <c r="Z600" s="43"/>
      <c r="AA600" s="43"/>
      <c r="AB600" s="43"/>
      <c r="AC600" s="43"/>
      <c r="AD600" s="43"/>
    </row>
    <row r="601">
      <c r="A601" s="43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4"/>
      <c r="P601" s="62"/>
      <c r="Q601" s="62"/>
      <c r="R601" s="62"/>
      <c r="S601" s="62"/>
      <c r="T601" s="62"/>
      <c r="U601" s="62"/>
      <c r="V601" s="62"/>
      <c r="W601" s="62"/>
      <c r="X601" s="62"/>
      <c r="Y601" s="43"/>
      <c r="Z601" s="43"/>
      <c r="AA601" s="43"/>
      <c r="AB601" s="43"/>
      <c r="AC601" s="43"/>
      <c r="AD601" s="43"/>
    </row>
    <row r="602">
      <c r="A602" s="43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4"/>
      <c r="P602" s="62"/>
      <c r="Q602" s="62"/>
      <c r="R602" s="62"/>
      <c r="S602" s="62"/>
      <c r="T602" s="62"/>
      <c r="U602" s="62"/>
      <c r="V602" s="62"/>
      <c r="W602" s="62"/>
      <c r="X602" s="62"/>
      <c r="Y602" s="43"/>
      <c r="Z602" s="43"/>
      <c r="AA602" s="43"/>
      <c r="AB602" s="43"/>
      <c r="AC602" s="43"/>
      <c r="AD602" s="43"/>
    </row>
    <row r="603">
      <c r="A603" s="43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4"/>
      <c r="P603" s="62"/>
      <c r="Q603" s="62"/>
      <c r="R603" s="62"/>
      <c r="S603" s="62"/>
      <c r="T603" s="62"/>
      <c r="U603" s="62"/>
      <c r="V603" s="62"/>
      <c r="W603" s="62"/>
      <c r="X603" s="62"/>
      <c r="Y603" s="43"/>
      <c r="Z603" s="43"/>
      <c r="AA603" s="43"/>
      <c r="AB603" s="43"/>
      <c r="AC603" s="43"/>
      <c r="AD603" s="43"/>
    </row>
    <row r="604">
      <c r="A604" s="43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4"/>
      <c r="P604" s="62"/>
      <c r="Q604" s="62"/>
      <c r="R604" s="62"/>
      <c r="S604" s="62"/>
      <c r="T604" s="62"/>
      <c r="U604" s="62"/>
      <c r="V604" s="62"/>
      <c r="W604" s="62"/>
      <c r="X604" s="62"/>
      <c r="Y604" s="43"/>
      <c r="Z604" s="43"/>
      <c r="AA604" s="43"/>
      <c r="AB604" s="43"/>
      <c r="AC604" s="43"/>
      <c r="AD604" s="43"/>
    </row>
    <row r="605">
      <c r="A605" s="43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4"/>
      <c r="P605" s="62"/>
      <c r="Q605" s="62"/>
      <c r="R605" s="62"/>
      <c r="S605" s="62"/>
      <c r="T605" s="62"/>
      <c r="U605" s="62"/>
      <c r="V605" s="62"/>
      <c r="W605" s="62"/>
      <c r="X605" s="62"/>
      <c r="Y605" s="43"/>
      <c r="Z605" s="43"/>
      <c r="AA605" s="43"/>
      <c r="AB605" s="43"/>
      <c r="AC605" s="43"/>
      <c r="AD605" s="43"/>
    </row>
    <row r="606">
      <c r="A606" s="43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4"/>
      <c r="P606" s="62"/>
      <c r="Q606" s="62"/>
      <c r="R606" s="62"/>
      <c r="S606" s="62"/>
      <c r="T606" s="62"/>
      <c r="U606" s="62"/>
      <c r="V606" s="62"/>
      <c r="W606" s="62"/>
      <c r="X606" s="62"/>
      <c r="Y606" s="43"/>
      <c r="Z606" s="43"/>
      <c r="AA606" s="43"/>
      <c r="AB606" s="43"/>
      <c r="AC606" s="43"/>
      <c r="AD606" s="43"/>
    </row>
    <row r="607">
      <c r="A607" s="43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4"/>
      <c r="P607" s="62"/>
      <c r="Q607" s="62"/>
      <c r="R607" s="62"/>
      <c r="S607" s="62"/>
      <c r="T607" s="62"/>
      <c r="U607" s="62"/>
      <c r="V607" s="62"/>
      <c r="W607" s="62"/>
      <c r="X607" s="62"/>
      <c r="Y607" s="43"/>
      <c r="Z607" s="43"/>
      <c r="AA607" s="43"/>
      <c r="AB607" s="43"/>
      <c r="AC607" s="43"/>
      <c r="AD607" s="43"/>
    </row>
    <row r="608">
      <c r="A608" s="43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4"/>
      <c r="P608" s="62"/>
      <c r="Q608" s="62"/>
      <c r="R608" s="62"/>
      <c r="S608" s="62"/>
      <c r="T608" s="62"/>
      <c r="U608" s="62"/>
      <c r="V608" s="62"/>
      <c r="W608" s="62"/>
      <c r="X608" s="62"/>
      <c r="Y608" s="43"/>
      <c r="Z608" s="43"/>
      <c r="AA608" s="43"/>
      <c r="AB608" s="43"/>
      <c r="AC608" s="43"/>
      <c r="AD608" s="43"/>
    </row>
    <row r="609">
      <c r="A609" s="43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4"/>
      <c r="P609" s="62"/>
      <c r="Q609" s="62"/>
      <c r="R609" s="62"/>
      <c r="S609" s="62"/>
      <c r="T609" s="62"/>
      <c r="U609" s="62"/>
      <c r="V609" s="62"/>
      <c r="W609" s="62"/>
      <c r="X609" s="62"/>
      <c r="Y609" s="43"/>
      <c r="Z609" s="43"/>
      <c r="AA609" s="43"/>
      <c r="AB609" s="43"/>
      <c r="AC609" s="43"/>
      <c r="AD609" s="43"/>
    </row>
    <row r="610">
      <c r="A610" s="43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4"/>
      <c r="P610" s="62"/>
      <c r="Q610" s="62"/>
      <c r="R610" s="62"/>
      <c r="S610" s="62"/>
      <c r="T610" s="62"/>
      <c r="U610" s="62"/>
      <c r="V610" s="62"/>
      <c r="W610" s="62"/>
      <c r="X610" s="62"/>
      <c r="Y610" s="43"/>
      <c r="Z610" s="43"/>
      <c r="AA610" s="43"/>
      <c r="AB610" s="43"/>
      <c r="AC610" s="43"/>
      <c r="AD610" s="43"/>
    </row>
    <row r="611">
      <c r="A611" s="43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4"/>
      <c r="P611" s="62"/>
      <c r="Q611" s="62"/>
      <c r="R611" s="62"/>
      <c r="S611" s="62"/>
      <c r="T611" s="62"/>
      <c r="U611" s="62"/>
      <c r="V611" s="62"/>
      <c r="W611" s="62"/>
      <c r="X611" s="62"/>
      <c r="Y611" s="43"/>
      <c r="Z611" s="43"/>
      <c r="AA611" s="43"/>
      <c r="AB611" s="43"/>
      <c r="AC611" s="43"/>
      <c r="AD611" s="43"/>
    </row>
    <row r="612">
      <c r="A612" s="43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4"/>
      <c r="P612" s="62"/>
      <c r="Q612" s="62"/>
      <c r="R612" s="62"/>
      <c r="S612" s="62"/>
      <c r="T612" s="62"/>
      <c r="U612" s="62"/>
      <c r="V612" s="62"/>
      <c r="W612" s="62"/>
      <c r="X612" s="62"/>
      <c r="Y612" s="43"/>
      <c r="Z612" s="43"/>
      <c r="AA612" s="43"/>
      <c r="AB612" s="43"/>
      <c r="AC612" s="43"/>
      <c r="AD612" s="43"/>
    </row>
    <row r="613">
      <c r="A613" s="43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4"/>
      <c r="P613" s="62"/>
      <c r="Q613" s="62"/>
      <c r="R613" s="62"/>
      <c r="S613" s="62"/>
      <c r="T613" s="62"/>
      <c r="U613" s="62"/>
      <c r="V613" s="62"/>
      <c r="W613" s="62"/>
      <c r="X613" s="62"/>
      <c r="Y613" s="43"/>
      <c r="Z613" s="43"/>
      <c r="AA613" s="43"/>
      <c r="AB613" s="43"/>
      <c r="AC613" s="43"/>
      <c r="AD613" s="43"/>
    </row>
    <row r="614">
      <c r="A614" s="43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4"/>
      <c r="P614" s="62"/>
      <c r="Q614" s="62"/>
      <c r="R614" s="62"/>
      <c r="S614" s="62"/>
      <c r="T614" s="62"/>
      <c r="U614" s="62"/>
      <c r="V614" s="62"/>
      <c r="W614" s="62"/>
      <c r="X614" s="62"/>
      <c r="Y614" s="43"/>
      <c r="Z614" s="43"/>
      <c r="AA614" s="43"/>
      <c r="AB614" s="43"/>
      <c r="AC614" s="43"/>
      <c r="AD614" s="43"/>
    </row>
    <row r="615">
      <c r="A615" s="43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4"/>
      <c r="P615" s="62"/>
      <c r="Q615" s="62"/>
      <c r="R615" s="62"/>
      <c r="S615" s="62"/>
      <c r="T615" s="62"/>
      <c r="U615" s="62"/>
      <c r="V615" s="62"/>
      <c r="W615" s="62"/>
      <c r="X615" s="62"/>
      <c r="Y615" s="43"/>
      <c r="Z615" s="43"/>
      <c r="AA615" s="43"/>
      <c r="AB615" s="43"/>
      <c r="AC615" s="43"/>
      <c r="AD615" s="43"/>
    </row>
    <row r="616">
      <c r="A616" s="43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4"/>
      <c r="P616" s="62"/>
      <c r="Q616" s="62"/>
      <c r="R616" s="62"/>
      <c r="S616" s="62"/>
      <c r="T616" s="62"/>
      <c r="U616" s="62"/>
      <c r="V616" s="62"/>
      <c r="W616" s="62"/>
      <c r="X616" s="62"/>
      <c r="Y616" s="43"/>
      <c r="Z616" s="43"/>
      <c r="AA616" s="43"/>
      <c r="AB616" s="43"/>
      <c r="AC616" s="43"/>
      <c r="AD616" s="43"/>
    </row>
    <row r="617">
      <c r="A617" s="43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4"/>
      <c r="P617" s="62"/>
      <c r="Q617" s="62"/>
      <c r="R617" s="62"/>
      <c r="S617" s="62"/>
      <c r="T617" s="62"/>
      <c r="U617" s="62"/>
      <c r="V617" s="62"/>
      <c r="W617" s="62"/>
      <c r="X617" s="62"/>
      <c r="Y617" s="43"/>
      <c r="Z617" s="43"/>
      <c r="AA617" s="43"/>
      <c r="AB617" s="43"/>
      <c r="AC617" s="43"/>
      <c r="AD617" s="43"/>
    </row>
    <row r="618">
      <c r="A618" s="43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4"/>
      <c r="P618" s="62"/>
      <c r="Q618" s="62"/>
      <c r="R618" s="62"/>
      <c r="S618" s="62"/>
      <c r="T618" s="62"/>
      <c r="U618" s="62"/>
      <c r="V618" s="62"/>
      <c r="W618" s="62"/>
      <c r="X618" s="62"/>
      <c r="Y618" s="43"/>
      <c r="Z618" s="43"/>
      <c r="AA618" s="43"/>
      <c r="AB618" s="43"/>
      <c r="AC618" s="43"/>
      <c r="AD618" s="43"/>
    </row>
    <row r="619">
      <c r="A619" s="43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4"/>
      <c r="P619" s="62"/>
      <c r="Q619" s="62"/>
      <c r="R619" s="62"/>
      <c r="S619" s="62"/>
      <c r="T619" s="62"/>
      <c r="U619" s="62"/>
      <c r="V619" s="62"/>
      <c r="W619" s="62"/>
      <c r="X619" s="62"/>
      <c r="Y619" s="43"/>
      <c r="Z619" s="43"/>
      <c r="AA619" s="43"/>
      <c r="AB619" s="43"/>
      <c r="AC619" s="43"/>
      <c r="AD619" s="43"/>
    </row>
    <row r="620">
      <c r="A620" s="43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4"/>
      <c r="P620" s="62"/>
      <c r="Q620" s="62"/>
      <c r="R620" s="62"/>
      <c r="S620" s="62"/>
      <c r="T620" s="62"/>
      <c r="U620" s="62"/>
      <c r="V620" s="62"/>
      <c r="W620" s="62"/>
      <c r="X620" s="62"/>
      <c r="Y620" s="43"/>
      <c r="Z620" s="43"/>
      <c r="AA620" s="43"/>
      <c r="AB620" s="43"/>
      <c r="AC620" s="43"/>
      <c r="AD620" s="43"/>
    </row>
    <row r="621">
      <c r="A621" s="43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4"/>
      <c r="P621" s="62"/>
      <c r="Q621" s="62"/>
      <c r="R621" s="62"/>
      <c r="S621" s="62"/>
      <c r="T621" s="62"/>
      <c r="U621" s="62"/>
      <c r="V621" s="62"/>
      <c r="W621" s="62"/>
      <c r="X621" s="62"/>
      <c r="Y621" s="43"/>
      <c r="Z621" s="43"/>
      <c r="AA621" s="43"/>
      <c r="AB621" s="43"/>
      <c r="AC621" s="43"/>
      <c r="AD621" s="43"/>
    </row>
    <row r="622">
      <c r="A622" s="43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4"/>
      <c r="P622" s="62"/>
      <c r="Q622" s="62"/>
      <c r="R622" s="62"/>
      <c r="S622" s="62"/>
      <c r="T622" s="62"/>
      <c r="U622" s="62"/>
      <c r="V622" s="62"/>
      <c r="W622" s="62"/>
      <c r="X622" s="62"/>
      <c r="Y622" s="43"/>
      <c r="Z622" s="43"/>
      <c r="AA622" s="43"/>
      <c r="AB622" s="43"/>
      <c r="AC622" s="43"/>
      <c r="AD622" s="43"/>
    </row>
    <row r="623">
      <c r="A623" s="43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4"/>
      <c r="P623" s="62"/>
      <c r="Q623" s="62"/>
      <c r="R623" s="62"/>
      <c r="S623" s="62"/>
      <c r="T623" s="62"/>
      <c r="U623" s="62"/>
      <c r="V623" s="62"/>
      <c r="W623" s="62"/>
      <c r="X623" s="62"/>
      <c r="Y623" s="43"/>
      <c r="Z623" s="43"/>
      <c r="AA623" s="43"/>
      <c r="AB623" s="43"/>
      <c r="AC623" s="43"/>
      <c r="AD623" s="43"/>
    </row>
    <row r="624">
      <c r="A624" s="43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4"/>
      <c r="P624" s="62"/>
      <c r="Q624" s="62"/>
      <c r="R624" s="62"/>
      <c r="S624" s="62"/>
      <c r="T624" s="62"/>
      <c r="U624" s="62"/>
      <c r="V624" s="62"/>
      <c r="W624" s="62"/>
      <c r="X624" s="62"/>
      <c r="Y624" s="43"/>
      <c r="Z624" s="43"/>
      <c r="AA624" s="43"/>
      <c r="AB624" s="43"/>
      <c r="AC624" s="43"/>
      <c r="AD624" s="43"/>
    </row>
    <row r="625">
      <c r="A625" s="43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4"/>
      <c r="P625" s="62"/>
      <c r="Q625" s="62"/>
      <c r="R625" s="62"/>
      <c r="S625" s="62"/>
      <c r="T625" s="62"/>
      <c r="U625" s="62"/>
      <c r="V625" s="62"/>
      <c r="W625" s="62"/>
      <c r="X625" s="62"/>
      <c r="Y625" s="43"/>
      <c r="Z625" s="43"/>
      <c r="AA625" s="43"/>
      <c r="AB625" s="43"/>
      <c r="AC625" s="43"/>
      <c r="AD625" s="43"/>
    </row>
    <row r="626">
      <c r="A626" s="43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4"/>
      <c r="P626" s="62"/>
      <c r="Q626" s="62"/>
      <c r="R626" s="62"/>
      <c r="S626" s="62"/>
      <c r="T626" s="62"/>
      <c r="U626" s="62"/>
      <c r="V626" s="62"/>
      <c r="W626" s="62"/>
      <c r="X626" s="62"/>
      <c r="Y626" s="43"/>
      <c r="Z626" s="43"/>
      <c r="AA626" s="43"/>
      <c r="AB626" s="43"/>
      <c r="AC626" s="43"/>
      <c r="AD626" s="43"/>
    </row>
    <row r="627">
      <c r="A627" s="43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4"/>
      <c r="P627" s="62"/>
      <c r="Q627" s="62"/>
      <c r="R627" s="62"/>
      <c r="S627" s="62"/>
      <c r="T627" s="62"/>
      <c r="U627" s="62"/>
      <c r="V627" s="62"/>
      <c r="W627" s="62"/>
      <c r="X627" s="62"/>
      <c r="Y627" s="43"/>
      <c r="Z627" s="43"/>
      <c r="AA627" s="43"/>
      <c r="AB627" s="43"/>
      <c r="AC627" s="43"/>
      <c r="AD627" s="43"/>
    </row>
    <row r="628">
      <c r="A628" s="43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4"/>
      <c r="P628" s="62"/>
      <c r="Q628" s="62"/>
      <c r="R628" s="62"/>
      <c r="S628" s="62"/>
      <c r="T628" s="62"/>
      <c r="U628" s="62"/>
      <c r="V628" s="62"/>
      <c r="W628" s="62"/>
      <c r="X628" s="62"/>
      <c r="Y628" s="43"/>
      <c r="Z628" s="43"/>
      <c r="AA628" s="43"/>
      <c r="AB628" s="43"/>
      <c r="AC628" s="43"/>
      <c r="AD628" s="43"/>
    </row>
    <row r="629">
      <c r="A629" s="43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4"/>
      <c r="P629" s="62"/>
      <c r="Q629" s="62"/>
      <c r="R629" s="62"/>
      <c r="S629" s="62"/>
      <c r="T629" s="62"/>
      <c r="U629" s="62"/>
      <c r="V629" s="62"/>
      <c r="W629" s="62"/>
      <c r="X629" s="62"/>
      <c r="Y629" s="43"/>
      <c r="Z629" s="43"/>
      <c r="AA629" s="43"/>
      <c r="AB629" s="43"/>
      <c r="AC629" s="43"/>
      <c r="AD629" s="43"/>
    </row>
    <row r="630">
      <c r="A630" s="43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4"/>
      <c r="P630" s="62"/>
      <c r="Q630" s="62"/>
      <c r="R630" s="62"/>
      <c r="S630" s="62"/>
      <c r="T630" s="62"/>
      <c r="U630" s="62"/>
      <c r="V630" s="62"/>
      <c r="W630" s="62"/>
      <c r="X630" s="62"/>
      <c r="Y630" s="43"/>
      <c r="Z630" s="43"/>
      <c r="AA630" s="43"/>
      <c r="AB630" s="43"/>
      <c r="AC630" s="43"/>
      <c r="AD630" s="43"/>
    </row>
    <row r="631">
      <c r="A631" s="43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4"/>
      <c r="P631" s="62"/>
      <c r="Q631" s="62"/>
      <c r="R631" s="62"/>
      <c r="S631" s="62"/>
      <c r="T631" s="62"/>
      <c r="U631" s="62"/>
      <c r="V631" s="62"/>
      <c r="W631" s="62"/>
      <c r="X631" s="62"/>
      <c r="Y631" s="43"/>
      <c r="Z631" s="43"/>
      <c r="AA631" s="43"/>
      <c r="AB631" s="43"/>
      <c r="AC631" s="43"/>
      <c r="AD631" s="43"/>
    </row>
    <row r="632">
      <c r="A632" s="43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4"/>
      <c r="P632" s="62"/>
      <c r="Q632" s="62"/>
      <c r="R632" s="62"/>
      <c r="S632" s="62"/>
      <c r="T632" s="62"/>
      <c r="U632" s="62"/>
      <c r="V632" s="62"/>
      <c r="W632" s="62"/>
      <c r="X632" s="62"/>
      <c r="Y632" s="43"/>
      <c r="Z632" s="43"/>
      <c r="AA632" s="43"/>
      <c r="AB632" s="43"/>
      <c r="AC632" s="43"/>
      <c r="AD632" s="43"/>
    </row>
    <row r="633">
      <c r="A633" s="43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4"/>
      <c r="P633" s="62"/>
      <c r="Q633" s="62"/>
      <c r="R633" s="62"/>
      <c r="S633" s="62"/>
      <c r="T633" s="62"/>
      <c r="U633" s="62"/>
      <c r="V633" s="62"/>
      <c r="W633" s="62"/>
      <c r="X633" s="62"/>
      <c r="Y633" s="43"/>
      <c r="Z633" s="43"/>
      <c r="AA633" s="43"/>
      <c r="AB633" s="43"/>
      <c r="AC633" s="43"/>
      <c r="AD633" s="43"/>
    </row>
    <row r="634">
      <c r="A634" s="43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4"/>
      <c r="P634" s="62"/>
      <c r="Q634" s="62"/>
      <c r="R634" s="62"/>
      <c r="S634" s="62"/>
      <c r="T634" s="62"/>
      <c r="U634" s="62"/>
      <c r="V634" s="62"/>
      <c r="W634" s="62"/>
      <c r="X634" s="62"/>
      <c r="Y634" s="43"/>
      <c r="Z634" s="43"/>
      <c r="AA634" s="43"/>
      <c r="AB634" s="43"/>
      <c r="AC634" s="43"/>
      <c r="AD634" s="43"/>
    </row>
    <row r="635">
      <c r="A635" s="43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4"/>
      <c r="P635" s="62"/>
      <c r="Q635" s="62"/>
      <c r="R635" s="62"/>
      <c r="S635" s="62"/>
      <c r="T635" s="62"/>
      <c r="U635" s="62"/>
      <c r="V635" s="62"/>
      <c r="W635" s="62"/>
      <c r="X635" s="62"/>
      <c r="Y635" s="43"/>
      <c r="Z635" s="43"/>
      <c r="AA635" s="43"/>
      <c r="AB635" s="43"/>
      <c r="AC635" s="43"/>
      <c r="AD635" s="43"/>
    </row>
    <row r="636">
      <c r="A636" s="43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4"/>
      <c r="P636" s="62"/>
      <c r="Q636" s="62"/>
      <c r="R636" s="62"/>
      <c r="S636" s="62"/>
      <c r="T636" s="62"/>
      <c r="U636" s="62"/>
      <c r="V636" s="62"/>
      <c r="W636" s="62"/>
      <c r="X636" s="62"/>
      <c r="Y636" s="43"/>
      <c r="Z636" s="43"/>
      <c r="AA636" s="43"/>
      <c r="AB636" s="43"/>
      <c r="AC636" s="43"/>
      <c r="AD636" s="43"/>
    </row>
    <row r="637">
      <c r="A637" s="43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4"/>
      <c r="P637" s="62"/>
      <c r="Q637" s="62"/>
      <c r="R637" s="62"/>
      <c r="S637" s="62"/>
      <c r="T637" s="62"/>
      <c r="U637" s="62"/>
      <c r="V637" s="62"/>
      <c r="W637" s="62"/>
      <c r="X637" s="62"/>
      <c r="Y637" s="43"/>
      <c r="Z637" s="43"/>
      <c r="AA637" s="43"/>
      <c r="AB637" s="43"/>
      <c r="AC637" s="43"/>
      <c r="AD637" s="43"/>
    </row>
    <row r="638">
      <c r="A638" s="43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4"/>
      <c r="P638" s="62"/>
      <c r="Q638" s="62"/>
      <c r="R638" s="62"/>
      <c r="S638" s="62"/>
      <c r="T638" s="62"/>
      <c r="U638" s="62"/>
      <c r="V638" s="62"/>
      <c r="W638" s="62"/>
      <c r="X638" s="62"/>
      <c r="Y638" s="43"/>
      <c r="Z638" s="43"/>
      <c r="AA638" s="43"/>
      <c r="AB638" s="43"/>
      <c r="AC638" s="43"/>
      <c r="AD638" s="43"/>
    </row>
    <row r="639">
      <c r="A639" s="43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4"/>
      <c r="P639" s="62"/>
      <c r="Q639" s="62"/>
      <c r="R639" s="62"/>
      <c r="S639" s="62"/>
      <c r="T639" s="62"/>
      <c r="U639" s="62"/>
      <c r="V639" s="62"/>
      <c r="W639" s="62"/>
      <c r="X639" s="62"/>
      <c r="Y639" s="43"/>
      <c r="Z639" s="43"/>
      <c r="AA639" s="43"/>
      <c r="AB639" s="43"/>
      <c r="AC639" s="43"/>
      <c r="AD639" s="43"/>
    </row>
    <row r="640">
      <c r="A640" s="43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4"/>
      <c r="P640" s="62"/>
      <c r="Q640" s="62"/>
      <c r="R640" s="62"/>
      <c r="S640" s="62"/>
      <c r="T640" s="62"/>
      <c r="U640" s="62"/>
      <c r="V640" s="62"/>
      <c r="W640" s="62"/>
      <c r="X640" s="62"/>
      <c r="Y640" s="43"/>
      <c r="Z640" s="43"/>
      <c r="AA640" s="43"/>
      <c r="AB640" s="43"/>
      <c r="AC640" s="43"/>
      <c r="AD640" s="43"/>
    </row>
    <row r="641">
      <c r="A641" s="43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4"/>
      <c r="P641" s="62"/>
      <c r="Q641" s="62"/>
      <c r="R641" s="62"/>
      <c r="S641" s="62"/>
      <c r="T641" s="62"/>
      <c r="U641" s="62"/>
      <c r="V641" s="62"/>
      <c r="W641" s="62"/>
      <c r="X641" s="62"/>
      <c r="Y641" s="43"/>
      <c r="Z641" s="43"/>
      <c r="AA641" s="43"/>
      <c r="AB641" s="43"/>
      <c r="AC641" s="43"/>
      <c r="AD641" s="43"/>
    </row>
    <row r="642">
      <c r="A642" s="43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4"/>
      <c r="P642" s="62"/>
      <c r="Q642" s="62"/>
      <c r="R642" s="62"/>
      <c r="S642" s="62"/>
      <c r="T642" s="62"/>
      <c r="U642" s="62"/>
      <c r="V642" s="62"/>
      <c r="W642" s="62"/>
      <c r="X642" s="62"/>
      <c r="Y642" s="43"/>
      <c r="Z642" s="43"/>
      <c r="AA642" s="43"/>
      <c r="AB642" s="43"/>
      <c r="AC642" s="43"/>
      <c r="AD642" s="43"/>
    </row>
    <row r="643">
      <c r="A643" s="43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4"/>
      <c r="P643" s="62"/>
      <c r="Q643" s="62"/>
      <c r="R643" s="62"/>
      <c r="S643" s="62"/>
      <c r="T643" s="62"/>
      <c r="U643" s="62"/>
      <c r="V643" s="62"/>
      <c r="W643" s="62"/>
      <c r="X643" s="62"/>
      <c r="Y643" s="43"/>
      <c r="Z643" s="43"/>
      <c r="AA643" s="43"/>
      <c r="AB643" s="43"/>
      <c r="AC643" s="43"/>
      <c r="AD643" s="43"/>
    </row>
    <row r="644">
      <c r="A644" s="43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4"/>
      <c r="P644" s="62"/>
      <c r="Q644" s="62"/>
      <c r="R644" s="62"/>
      <c r="S644" s="62"/>
      <c r="T644" s="62"/>
      <c r="U644" s="62"/>
      <c r="V644" s="62"/>
      <c r="W644" s="62"/>
      <c r="X644" s="62"/>
      <c r="Y644" s="43"/>
      <c r="Z644" s="43"/>
      <c r="AA644" s="43"/>
      <c r="AB644" s="43"/>
      <c r="AC644" s="43"/>
      <c r="AD644" s="43"/>
    </row>
    <row r="645">
      <c r="A645" s="43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4"/>
      <c r="P645" s="62"/>
      <c r="Q645" s="62"/>
      <c r="R645" s="62"/>
      <c r="S645" s="62"/>
      <c r="T645" s="62"/>
      <c r="U645" s="62"/>
      <c r="V645" s="62"/>
      <c r="W645" s="62"/>
      <c r="X645" s="62"/>
      <c r="Y645" s="43"/>
      <c r="Z645" s="43"/>
      <c r="AA645" s="43"/>
      <c r="AB645" s="43"/>
      <c r="AC645" s="43"/>
      <c r="AD645" s="43"/>
    </row>
    <row r="646">
      <c r="A646" s="43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4"/>
      <c r="P646" s="62"/>
      <c r="Q646" s="62"/>
      <c r="R646" s="62"/>
      <c r="S646" s="62"/>
      <c r="T646" s="62"/>
      <c r="U646" s="62"/>
      <c r="V646" s="62"/>
      <c r="W646" s="62"/>
      <c r="X646" s="62"/>
      <c r="Y646" s="43"/>
      <c r="Z646" s="43"/>
      <c r="AA646" s="43"/>
      <c r="AB646" s="43"/>
      <c r="AC646" s="43"/>
      <c r="AD646" s="43"/>
    </row>
    <row r="647">
      <c r="A647" s="43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4"/>
      <c r="P647" s="62"/>
      <c r="Q647" s="62"/>
      <c r="R647" s="62"/>
      <c r="S647" s="62"/>
      <c r="T647" s="62"/>
      <c r="U647" s="62"/>
      <c r="V647" s="62"/>
      <c r="W647" s="62"/>
      <c r="X647" s="62"/>
      <c r="Y647" s="43"/>
      <c r="Z647" s="43"/>
      <c r="AA647" s="43"/>
      <c r="AB647" s="43"/>
      <c r="AC647" s="43"/>
      <c r="AD647" s="43"/>
    </row>
    <row r="648">
      <c r="A648" s="43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4"/>
      <c r="P648" s="62"/>
      <c r="Q648" s="62"/>
      <c r="R648" s="62"/>
      <c r="S648" s="62"/>
      <c r="T648" s="62"/>
      <c r="U648" s="62"/>
      <c r="V648" s="62"/>
      <c r="W648" s="62"/>
      <c r="X648" s="62"/>
      <c r="Y648" s="43"/>
      <c r="Z648" s="43"/>
      <c r="AA648" s="43"/>
      <c r="AB648" s="43"/>
      <c r="AC648" s="43"/>
      <c r="AD648" s="43"/>
    </row>
    <row r="649">
      <c r="A649" s="43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4"/>
      <c r="P649" s="62"/>
      <c r="Q649" s="62"/>
      <c r="R649" s="62"/>
      <c r="S649" s="62"/>
      <c r="T649" s="62"/>
      <c r="U649" s="62"/>
      <c r="V649" s="62"/>
      <c r="W649" s="62"/>
      <c r="X649" s="62"/>
      <c r="Y649" s="43"/>
      <c r="Z649" s="43"/>
      <c r="AA649" s="43"/>
      <c r="AB649" s="43"/>
      <c r="AC649" s="43"/>
      <c r="AD649" s="43"/>
    </row>
    <row r="650">
      <c r="A650" s="43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4"/>
      <c r="P650" s="62"/>
      <c r="Q650" s="62"/>
      <c r="R650" s="62"/>
      <c r="S650" s="62"/>
      <c r="T650" s="62"/>
      <c r="U650" s="62"/>
      <c r="V650" s="62"/>
      <c r="W650" s="62"/>
      <c r="X650" s="62"/>
      <c r="Y650" s="43"/>
      <c r="Z650" s="43"/>
      <c r="AA650" s="43"/>
      <c r="AB650" s="43"/>
      <c r="AC650" s="43"/>
      <c r="AD650" s="43"/>
    </row>
    <row r="651">
      <c r="A651" s="43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4"/>
      <c r="P651" s="62"/>
      <c r="Q651" s="62"/>
      <c r="R651" s="62"/>
      <c r="S651" s="62"/>
      <c r="T651" s="62"/>
      <c r="U651" s="62"/>
      <c r="V651" s="62"/>
      <c r="W651" s="62"/>
      <c r="X651" s="62"/>
      <c r="Y651" s="43"/>
      <c r="Z651" s="43"/>
      <c r="AA651" s="43"/>
      <c r="AB651" s="43"/>
      <c r="AC651" s="43"/>
      <c r="AD651" s="43"/>
    </row>
    <row r="652">
      <c r="A652" s="43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4"/>
      <c r="P652" s="62"/>
      <c r="Q652" s="62"/>
      <c r="R652" s="62"/>
      <c r="S652" s="62"/>
      <c r="T652" s="62"/>
      <c r="U652" s="62"/>
      <c r="V652" s="62"/>
      <c r="W652" s="62"/>
      <c r="X652" s="62"/>
      <c r="Y652" s="43"/>
      <c r="Z652" s="43"/>
      <c r="AA652" s="43"/>
      <c r="AB652" s="43"/>
      <c r="AC652" s="43"/>
      <c r="AD652" s="43"/>
    </row>
    <row r="653">
      <c r="A653" s="43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4"/>
      <c r="P653" s="62"/>
      <c r="Q653" s="62"/>
      <c r="R653" s="62"/>
      <c r="S653" s="62"/>
      <c r="T653" s="62"/>
      <c r="U653" s="62"/>
      <c r="V653" s="62"/>
      <c r="W653" s="62"/>
      <c r="X653" s="62"/>
      <c r="Y653" s="43"/>
      <c r="Z653" s="43"/>
      <c r="AA653" s="43"/>
      <c r="AB653" s="43"/>
      <c r="AC653" s="43"/>
      <c r="AD653" s="43"/>
    </row>
    <row r="654">
      <c r="A654" s="43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4"/>
      <c r="P654" s="62"/>
      <c r="Q654" s="62"/>
      <c r="R654" s="62"/>
      <c r="S654" s="62"/>
      <c r="T654" s="62"/>
      <c r="U654" s="62"/>
      <c r="V654" s="62"/>
      <c r="W654" s="62"/>
      <c r="X654" s="62"/>
      <c r="Y654" s="43"/>
      <c r="Z654" s="43"/>
      <c r="AA654" s="43"/>
      <c r="AB654" s="43"/>
      <c r="AC654" s="43"/>
      <c r="AD654" s="43"/>
    </row>
    <row r="655">
      <c r="A655" s="43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4"/>
      <c r="P655" s="62"/>
      <c r="Q655" s="62"/>
      <c r="R655" s="62"/>
      <c r="S655" s="62"/>
      <c r="T655" s="62"/>
      <c r="U655" s="62"/>
      <c r="V655" s="62"/>
      <c r="W655" s="62"/>
      <c r="X655" s="62"/>
      <c r="Y655" s="43"/>
      <c r="Z655" s="43"/>
      <c r="AA655" s="43"/>
      <c r="AB655" s="43"/>
      <c r="AC655" s="43"/>
      <c r="AD655" s="43"/>
    </row>
    <row r="656">
      <c r="A656" s="43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4"/>
      <c r="P656" s="62"/>
      <c r="Q656" s="62"/>
      <c r="R656" s="62"/>
      <c r="S656" s="62"/>
      <c r="T656" s="62"/>
      <c r="U656" s="62"/>
      <c r="V656" s="62"/>
      <c r="W656" s="62"/>
      <c r="X656" s="62"/>
      <c r="Y656" s="43"/>
      <c r="Z656" s="43"/>
      <c r="AA656" s="43"/>
      <c r="AB656" s="43"/>
      <c r="AC656" s="43"/>
      <c r="AD656" s="43"/>
    </row>
    <row r="657">
      <c r="A657" s="43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4"/>
      <c r="P657" s="62"/>
      <c r="Q657" s="62"/>
      <c r="R657" s="62"/>
      <c r="S657" s="62"/>
      <c r="T657" s="62"/>
      <c r="U657" s="62"/>
      <c r="V657" s="62"/>
      <c r="W657" s="62"/>
      <c r="X657" s="62"/>
      <c r="Y657" s="43"/>
      <c r="Z657" s="43"/>
      <c r="AA657" s="43"/>
      <c r="AB657" s="43"/>
      <c r="AC657" s="43"/>
      <c r="AD657" s="43"/>
    </row>
    <row r="658">
      <c r="A658" s="43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4"/>
      <c r="P658" s="62"/>
      <c r="Q658" s="62"/>
      <c r="R658" s="62"/>
      <c r="S658" s="62"/>
      <c r="T658" s="62"/>
      <c r="U658" s="62"/>
      <c r="V658" s="62"/>
      <c r="W658" s="62"/>
      <c r="X658" s="62"/>
      <c r="Y658" s="43"/>
      <c r="Z658" s="43"/>
      <c r="AA658" s="43"/>
      <c r="AB658" s="43"/>
      <c r="AC658" s="43"/>
      <c r="AD658" s="43"/>
    </row>
    <row r="659">
      <c r="A659" s="43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4"/>
      <c r="P659" s="62"/>
      <c r="Q659" s="62"/>
      <c r="R659" s="62"/>
      <c r="S659" s="62"/>
      <c r="T659" s="62"/>
      <c r="U659" s="62"/>
      <c r="V659" s="62"/>
      <c r="W659" s="62"/>
      <c r="X659" s="62"/>
      <c r="Y659" s="43"/>
      <c r="Z659" s="43"/>
      <c r="AA659" s="43"/>
      <c r="AB659" s="43"/>
      <c r="AC659" s="43"/>
      <c r="AD659" s="43"/>
    </row>
    <row r="660">
      <c r="A660" s="43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4"/>
      <c r="P660" s="62"/>
      <c r="Q660" s="62"/>
      <c r="R660" s="62"/>
      <c r="S660" s="62"/>
      <c r="T660" s="62"/>
      <c r="U660" s="62"/>
      <c r="V660" s="62"/>
      <c r="W660" s="62"/>
      <c r="X660" s="62"/>
      <c r="Y660" s="43"/>
      <c r="Z660" s="43"/>
      <c r="AA660" s="43"/>
      <c r="AB660" s="43"/>
      <c r="AC660" s="43"/>
      <c r="AD660" s="43"/>
    </row>
    <row r="661">
      <c r="A661" s="43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4"/>
      <c r="P661" s="62"/>
      <c r="Q661" s="62"/>
      <c r="R661" s="62"/>
      <c r="S661" s="62"/>
      <c r="T661" s="62"/>
      <c r="U661" s="62"/>
      <c r="V661" s="62"/>
      <c r="W661" s="62"/>
      <c r="X661" s="62"/>
      <c r="Y661" s="43"/>
      <c r="Z661" s="43"/>
      <c r="AA661" s="43"/>
      <c r="AB661" s="43"/>
      <c r="AC661" s="43"/>
      <c r="AD661" s="43"/>
    </row>
    <row r="662">
      <c r="A662" s="43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4"/>
      <c r="P662" s="62"/>
      <c r="Q662" s="62"/>
      <c r="R662" s="62"/>
      <c r="S662" s="62"/>
      <c r="T662" s="62"/>
      <c r="U662" s="62"/>
      <c r="V662" s="62"/>
      <c r="W662" s="62"/>
      <c r="X662" s="62"/>
      <c r="Y662" s="43"/>
      <c r="Z662" s="43"/>
      <c r="AA662" s="43"/>
      <c r="AB662" s="43"/>
      <c r="AC662" s="43"/>
      <c r="AD662" s="43"/>
    </row>
    <row r="663">
      <c r="A663" s="43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4"/>
      <c r="P663" s="62"/>
      <c r="Q663" s="62"/>
      <c r="R663" s="62"/>
      <c r="S663" s="62"/>
      <c r="T663" s="62"/>
      <c r="U663" s="62"/>
      <c r="V663" s="62"/>
      <c r="W663" s="62"/>
      <c r="X663" s="62"/>
      <c r="Y663" s="43"/>
      <c r="Z663" s="43"/>
      <c r="AA663" s="43"/>
      <c r="AB663" s="43"/>
      <c r="AC663" s="43"/>
      <c r="AD663" s="43"/>
    </row>
    <row r="664">
      <c r="A664" s="43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4"/>
      <c r="P664" s="62"/>
      <c r="Q664" s="62"/>
      <c r="R664" s="62"/>
      <c r="S664" s="62"/>
      <c r="T664" s="62"/>
      <c r="U664" s="62"/>
      <c r="V664" s="62"/>
      <c r="W664" s="62"/>
      <c r="X664" s="62"/>
      <c r="Y664" s="43"/>
      <c r="Z664" s="43"/>
      <c r="AA664" s="43"/>
      <c r="AB664" s="43"/>
      <c r="AC664" s="43"/>
      <c r="AD664" s="43"/>
    </row>
    <row r="665">
      <c r="A665" s="43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4"/>
      <c r="P665" s="62"/>
      <c r="Q665" s="62"/>
      <c r="R665" s="62"/>
      <c r="S665" s="62"/>
      <c r="T665" s="62"/>
      <c r="U665" s="62"/>
      <c r="V665" s="62"/>
      <c r="W665" s="62"/>
      <c r="X665" s="62"/>
      <c r="Y665" s="43"/>
      <c r="Z665" s="43"/>
      <c r="AA665" s="43"/>
      <c r="AB665" s="43"/>
      <c r="AC665" s="43"/>
      <c r="AD665" s="43"/>
    </row>
    <row r="666">
      <c r="A666" s="43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4"/>
      <c r="P666" s="62"/>
      <c r="Q666" s="62"/>
      <c r="R666" s="62"/>
      <c r="S666" s="62"/>
      <c r="T666" s="62"/>
      <c r="U666" s="62"/>
      <c r="V666" s="62"/>
      <c r="W666" s="62"/>
      <c r="X666" s="62"/>
      <c r="Y666" s="43"/>
      <c r="Z666" s="43"/>
      <c r="AA666" s="43"/>
      <c r="AB666" s="43"/>
      <c r="AC666" s="43"/>
      <c r="AD666" s="43"/>
    </row>
    <row r="667">
      <c r="A667" s="43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4"/>
      <c r="P667" s="62"/>
      <c r="Q667" s="62"/>
      <c r="R667" s="62"/>
      <c r="S667" s="62"/>
      <c r="T667" s="62"/>
      <c r="U667" s="62"/>
      <c r="V667" s="62"/>
      <c r="W667" s="62"/>
      <c r="X667" s="62"/>
      <c r="Y667" s="43"/>
      <c r="Z667" s="43"/>
      <c r="AA667" s="43"/>
      <c r="AB667" s="43"/>
      <c r="AC667" s="43"/>
      <c r="AD667" s="43"/>
    </row>
    <row r="668">
      <c r="A668" s="43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4"/>
      <c r="P668" s="62"/>
      <c r="Q668" s="62"/>
      <c r="R668" s="62"/>
      <c r="S668" s="62"/>
      <c r="T668" s="62"/>
      <c r="U668" s="62"/>
      <c r="V668" s="62"/>
      <c r="W668" s="62"/>
      <c r="X668" s="62"/>
      <c r="Y668" s="43"/>
      <c r="Z668" s="43"/>
      <c r="AA668" s="43"/>
      <c r="AB668" s="43"/>
      <c r="AC668" s="43"/>
      <c r="AD668" s="43"/>
    </row>
    <row r="669">
      <c r="A669" s="43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4"/>
      <c r="P669" s="62"/>
      <c r="Q669" s="62"/>
      <c r="R669" s="62"/>
      <c r="S669" s="62"/>
      <c r="T669" s="62"/>
      <c r="U669" s="62"/>
      <c r="V669" s="62"/>
      <c r="W669" s="62"/>
      <c r="X669" s="62"/>
      <c r="Y669" s="43"/>
      <c r="Z669" s="43"/>
      <c r="AA669" s="43"/>
      <c r="AB669" s="43"/>
      <c r="AC669" s="43"/>
      <c r="AD669" s="43"/>
    </row>
    <row r="670">
      <c r="A670" s="43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4"/>
      <c r="P670" s="62"/>
      <c r="Q670" s="62"/>
      <c r="R670" s="62"/>
      <c r="S670" s="62"/>
      <c r="T670" s="62"/>
      <c r="U670" s="62"/>
      <c r="V670" s="62"/>
      <c r="W670" s="62"/>
      <c r="X670" s="62"/>
      <c r="Y670" s="43"/>
      <c r="Z670" s="43"/>
      <c r="AA670" s="43"/>
      <c r="AB670" s="43"/>
      <c r="AC670" s="43"/>
      <c r="AD670" s="43"/>
    </row>
    <row r="671">
      <c r="A671" s="43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4"/>
      <c r="P671" s="62"/>
      <c r="Q671" s="62"/>
      <c r="R671" s="62"/>
      <c r="S671" s="62"/>
      <c r="T671" s="62"/>
      <c r="U671" s="62"/>
      <c r="V671" s="62"/>
      <c r="W671" s="62"/>
      <c r="X671" s="62"/>
      <c r="Y671" s="43"/>
      <c r="Z671" s="43"/>
      <c r="AA671" s="43"/>
      <c r="AB671" s="43"/>
      <c r="AC671" s="43"/>
      <c r="AD671" s="43"/>
    </row>
    <row r="672">
      <c r="A672" s="43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4"/>
      <c r="P672" s="62"/>
      <c r="Q672" s="62"/>
      <c r="R672" s="62"/>
      <c r="S672" s="62"/>
      <c r="T672" s="62"/>
      <c r="U672" s="62"/>
      <c r="V672" s="62"/>
      <c r="W672" s="62"/>
      <c r="X672" s="62"/>
      <c r="Y672" s="43"/>
      <c r="Z672" s="43"/>
      <c r="AA672" s="43"/>
      <c r="AB672" s="43"/>
      <c r="AC672" s="43"/>
      <c r="AD672" s="43"/>
    </row>
    <row r="673">
      <c r="A673" s="43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4"/>
      <c r="P673" s="62"/>
      <c r="Q673" s="62"/>
      <c r="R673" s="62"/>
      <c r="S673" s="62"/>
      <c r="T673" s="62"/>
      <c r="U673" s="62"/>
      <c r="V673" s="62"/>
      <c r="W673" s="62"/>
      <c r="X673" s="62"/>
      <c r="Y673" s="43"/>
      <c r="Z673" s="43"/>
      <c r="AA673" s="43"/>
      <c r="AB673" s="43"/>
      <c r="AC673" s="43"/>
      <c r="AD673" s="43"/>
    </row>
    <row r="674">
      <c r="A674" s="43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4"/>
      <c r="P674" s="62"/>
      <c r="Q674" s="62"/>
      <c r="R674" s="62"/>
      <c r="S674" s="62"/>
      <c r="T674" s="62"/>
      <c r="U674" s="62"/>
      <c r="V674" s="62"/>
      <c r="W674" s="62"/>
      <c r="X674" s="62"/>
      <c r="Y674" s="43"/>
      <c r="Z674" s="43"/>
      <c r="AA674" s="43"/>
      <c r="AB674" s="43"/>
      <c r="AC674" s="43"/>
      <c r="AD674" s="43"/>
    </row>
    <row r="675">
      <c r="A675" s="43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4"/>
      <c r="P675" s="62"/>
      <c r="Q675" s="62"/>
      <c r="R675" s="62"/>
      <c r="S675" s="62"/>
      <c r="T675" s="62"/>
      <c r="U675" s="62"/>
      <c r="V675" s="62"/>
      <c r="W675" s="62"/>
      <c r="X675" s="62"/>
      <c r="Y675" s="43"/>
      <c r="Z675" s="43"/>
      <c r="AA675" s="43"/>
      <c r="AB675" s="43"/>
      <c r="AC675" s="43"/>
      <c r="AD675" s="43"/>
    </row>
    <row r="676">
      <c r="A676" s="43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4"/>
      <c r="P676" s="62"/>
      <c r="Q676" s="62"/>
      <c r="R676" s="62"/>
      <c r="S676" s="62"/>
      <c r="T676" s="62"/>
      <c r="U676" s="62"/>
      <c r="V676" s="62"/>
      <c r="W676" s="62"/>
      <c r="X676" s="62"/>
      <c r="Y676" s="43"/>
      <c r="Z676" s="43"/>
      <c r="AA676" s="43"/>
      <c r="AB676" s="43"/>
      <c r="AC676" s="43"/>
      <c r="AD676" s="43"/>
    </row>
    <row r="677">
      <c r="A677" s="43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4"/>
      <c r="P677" s="62"/>
      <c r="Q677" s="62"/>
      <c r="R677" s="62"/>
      <c r="S677" s="62"/>
      <c r="T677" s="62"/>
      <c r="U677" s="62"/>
      <c r="V677" s="62"/>
      <c r="W677" s="62"/>
      <c r="X677" s="62"/>
      <c r="Y677" s="43"/>
      <c r="Z677" s="43"/>
      <c r="AA677" s="43"/>
      <c r="AB677" s="43"/>
      <c r="AC677" s="43"/>
      <c r="AD677" s="43"/>
    </row>
    <row r="678">
      <c r="A678" s="43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4"/>
      <c r="P678" s="62"/>
      <c r="Q678" s="62"/>
      <c r="R678" s="62"/>
      <c r="S678" s="62"/>
      <c r="T678" s="62"/>
      <c r="U678" s="62"/>
      <c r="V678" s="62"/>
      <c r="W678" s="62"/>
      <c r="X678" s="62"/>
      <c r="Y678" s="43"/>
      <c r="Z678" s="43"/>
      <c r="AA678" s="43"/>
      <c r="AB678" s="43"/>
      <c r="AC678" s="43"/>
      <c r="AD678" s="43"/>
    </row>
    <row r="679">
      <c r="A679" s="43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4"/>
      <c r="P679" s="62"/>
      <c r="Q679" s="62"/>
      <c r="R679" s="62"/>
      <c r="S679" s="62"/>
      <c r="T679" s="62"/>
      <c r="U679" s="62"/>
      <c r="V679" s="62"/>
      <c r="W679" s="62"/>
      <c r="X679" s="62"/>
      <c r="Y679" s="43"/>
      <c r="Z679" s="43"/>
      <c r="AA679" s="43"/>
      <c r="AB679" s="43"/>
      <c r="AC679" s="43"/>
      <c r="AD679" s="43"/>
    </row>
    <row r="680">
      <c r="A680" s="43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4"/>
      <c r="P680" s="62"/>
      <c r="Q680" s="62"/>
      <c r="R680" s="62"/>
      <c r="S680" s="62"/>
      <c r="T680" s="62"/>
      <c r="U680" s="62"/>
      <c r="V680" s="62"/>
      <c r="W680" s="62"/>
      <c r="X680" s="62"/>
      <c r="Y680" s="43"/>
      <c r="Z680" s="43"/>
      <c r="AA680" s="43"/>
      <c r="AB680" s="43"/>
      <c r="AC680" s="43"/>
      <c r="AD680" s="43"/>
    </row>
    <row r="681">
      <c r="A681" s="43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4"/>
      <c r="P681" s="62"/>
      <c r="Q681" s="62"/>
      <c r="R681" s="62"/>
      <c r="S681" s="62"/>
      <c r="T681" s="62"/>
      <c r="U681" s="62"/>
      <c r="V681" s="62"/>
      <c r="W681" s="62"/>
      <c r="X681" s="62"/>
      <c r="Y681" s="43"/>
      <c r="Z681" s="43"/>
      <c r="AA681" s="43"/>
      <c r="AB681" s="43"/>
      <c r="AC681" s="43"/>
      <c r="AD681" s="43"/>
    </row>
    <row r="682">
      <c r="A682" s="43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4"/>
      <c r="P682" s="62"/>
      <c r="Q682" s="62"/>
      <c r="R682" s="62"/>
      <c r="S682" s="62"/>
      <c r="T682" s="62"/>
      <c r="U682" s="62"/>
      <c r="V682" s="62"/>
      <c r="W682" s="62"/>
      <c r="X682" s="62"/>
      <c r="Y682" s="43"/>
      <c r="Z682" s="43"/>
      <c r="AA682" s="43"/>
      <c r="AB682" s="43"/>
      <c r="AC682" s="43"/>
      <c r="AD682" s="43"/>
    </row>
    <row r="683">
      <c r="A683" s="43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4"/>
      <c r="P683" s="62"/>
      <c r="Q683" s="62"/>
      <c r="R683" s="62"/>
      <c r="S683" s="62"/>
      <c r="T683" s="62"/>
      <c r="U683" s="62"/>
      <c r="V683" s="62"/>
      <c r="W683" s="62"/>
      <c r="X683" s="62"/>
      <c r="Y683" s="43"/>
      <c r="Z683" s="43"/>
      <c r="AA683" s="43"/>
      <c r="AB683" s="43"/>
      <c r="AC683" s="43"/>
      <c r="AD683" s="43"/>
    </row>
    <row r="684">
      <c r="A684" s="43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4"/>
      <c r="P684" s="62"/>
      <c r="Q684" s="62"/>
      <c r="R684" s="62"/>
      <c r="S684" s="62"/>
      <c r="T684" s="62"/>
      <c r="U684" s="62"/>
      <c r="V684" s="62"/>
      <c r="W684" s="62"/>
      <c r="X684" s="62"/>
      <c r="Y684" s="43"/>
      <c r="Z684" s="43"/>
      <c r="AA684" s="43"/>
      <c r="AB684" s="43"/>
      <c r="AC684" s="43"/>
      <c r="AD684" s="43"/>
    </row>
    <row r="685">
      <c r="A685" s="43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4"/>
      <c r="P685" s="62"/>
      <c r="Q685" s="62"/>
      <c r="R685" s="62"/>
      <c r="S685" s="62"/>
      <c r="T685" s="62"/>
      <c r="U685" s="62"/>
      <c r="V685" s="62"/>
      <c r="W685" s="62"/>
      <c r="X685" s="62"/>
      <c r="Y685" s="43"/>
      <c r="Z685" s="43"/>
      <c r="AA685" s="43"/>
      <c r="AB685" s="43"/>
      <c r="AC685" s="43"/>
      <c r="AD685" s="43"/>
    </row>
    <row r="686">
      <c r="A686" s="43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4"/>
      <c r="P686" s="62"/>
      <c r="Q686" s="62"/>
      <c r="R686" s="62"/>
      <c r="S686" s="62"/>
      <c r="T686" s="62"/>
      <c r="U686" s="62"/>
      <c r="V686" s="62"/>
      <c r="W686" s="62"/>
      <c r="X686" s="62"/>
      <c r="Y686" s="43"/>
      <c r="Z686" s="43"/>
      <c r="AA686" s="43"/>
      <c r="AB686" s="43"/>
      <c r="AC686" s="43"/>
      <c r="AD686" s="43"/>
    </row>
    <row r="687">
      <c r="A687" s="43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4"/>
      <c r="P687" s="62"/>
      <c r="Q687" s="62"/>
      <c r="R687" s="62"/>
      <c r="S687" s="62"/>
      <c r="T687" s="62"/>
      <c r="U687" s="62"/>
      <c r="V687" s="62"/>
      <c r="W687" s="62"/>
      <c r="X687" s="62"/>
      <c r="Y687" s="43"/>
      <c r="Z687" s="43"/>
      <c r="AA687" s="43"/>
      <c r="AB687" s="43"/>
      <c r="AC687" s="43"/>
      <c r="AD687" s="43"/>
    </row>
    <row r="688">
      <c r="A688" s="43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4"/>
      <c r="P688" s="62"/>
      <c r="Q688" s="62"/>
      <c r="R688" s="62"/>
      <c r="S688" s="62"/>
      <c r="T688" s="62"/>
      <c r="U688" s="62"/>
      <c r="V688" s="62"/>
      <c r="W688" s="62"/>
      <c r="X688" s="62"/>
      <c r="Y688" s="43"/>
      <c r="Z688" s="43"/>
      <c r="AA688" s="43"/>
      <c r="AB688" s="43"/>
      <c r="AC688" s="43"/>
      <c r="AD688" s="43"/>
    </row>
    <row r="689">
      <c r="A689" s="43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4"/>
      <c r="P689" s="62"/>
      <c r="Q689" s="62"/>
      <c r="R689" s="62"/>
      <c r="S689" s="62"/>
      <c r="T689" s="62"/>
      <c r="U689" s="62"/>
      <c r="V689" s="62"/>
      <c r="W689" s="62"/>
      <c r="X689" s="62"/>
      <c r="Y689" s="43"/>
      <c r="Z689" s="43"/>
      <c r="AA689" s="43"/>
      <c r="AB689" s="43"/>
      <c r="AC689" s="43"/>
      <c r="AD689" s="43"/>
    </row>
    <row r="690">
      <c r="A690" s="43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4"/>
      <c r="P690" s="62"/>
      <c r="Q690" s="62"/>
      <c r="R690" s="62"/>
      <c r="S690" s="62"/>
      <c r="T690" s="62"/>
      <c r="U690" s="62"/>
      <c r="V690" s="62"/>
      <c r="W690" s="62"/>
      <c r="X690" s="62"/>
      <c r="Y690" s="43"/>
      <c r="Z690" s="43"/>
      <c r="AA690" s="43"/>
      <c r="AB690" s="43"/>
      <c r="AC690" s="43"/>
      <c r="AD690" s="43"/>
    </row>
    <row r="691">
      <c r="A691" s="43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4"/>
      <c r="P691" s="62"/>
      <c r="Q691" s="62"/>
      <c r="R691" s="62"/>
      <c r="S691" s="62"/>
      <c r="T691" s="62"/>
      <c r="U691" s="62"/>
      <c r="V691" s="62"/>
      <c r="W691" s="62"/>
      <c r="X691" s="62"/>
      <c r="Y691" s="43"/>
      <c r="Z691" s="43"/>
      <c r="AA691" s="43"/>
      <c r="AB691" s="43"/>
      <c r="AC691" s="43"/>
      <c r="AD691" s="43"/>
    </row>
    <row r="692">
      <c r="A692" s="43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4"/>
      <c r="P692" s="62"/>
      <c r="Q692" s="62"/>
      <c r="R692" s="62"/>
      <c r="S692" s="62"/>
      <c r="T692" s="62"/>
      <c r="U692" s="62"/>
      <c r="V692" s="62"/>
      <c r="W692" s="62"/>
      <c r="X692" s="62"/>
      <c r="Y692" s="43"/>
      <c r="Z692" s="43"/>
      <c r="AA692" s="43"/>
      <c r="AB692" s="43"/>
      <c r="AC692" s="43"/>
      <c r="AD692" s="43"/>
    </row>
    <row r="693">
      <c r="A693" s="43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4"/>
      <c r="P693" s="62"/>
      <c r="Q693" s="62"/>
      <c r="R693" s="62"/>
      <c r="S693" s="62"/>
      <c r="T693" s="62"/>
      <c r="U693" s="62"/>
      <c r="V693" s="62"/>
      <c r="W693" s="62"/>
      <c r="X693" s="62"/>
      <c r="Y693" s="43"/>
      <c r="Z693" s="43"/>
      <c r="AA693" s="43"/>
      <c r="AB693" s="43"/>
      <c r="AC693" s="43"/>
      <c r="AD693" s="43"/>
    </row>
    <row r="694">
      <c r="A694" s="43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4"/>
      <c r="P694" s="62"/>
      <c r="Q694" s="62"/>
      <c r="R694" s="62"/>
      <c r="S694" s="62"/>
      <c r="T694" s="62"/>
      <c r="U694" s="62"/>
      <c r="V694" s="62"/>
      <c r="W694" s="62"/>
      <c r="X694" s="62"/>
      <c r="Y694" s="43"/>
      <c r="Z694" s="43"/>
      <c r="AA694" s="43"/>
      <c r="AB694" s="43"/>
      <c r="AC694" s="43"/>
      <c r="AD694" s="43"/>
    </row>
    <row r="695">
      <c r="A695" s="43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4"/>
      <c r="P695" s="62"/>
      <c r="Q695" s="62"/>
      <c r="R695" s="62"/>
      <c r="S695" s="62"/>
      <c r="T695" s="62"/>
      <c r="U695" s="62"/>
      <c r="V695" s="62"/>
      <c r="W695" s="62"/>
      <c r="X695" s="62"/>
      <c r="Y695" s="43"/>
      <c r="Z695" s="43"/>
      <c r="AA695" s="43"/>
      <c r="AB695" s="43"/>
      <c r="AC695" s="43"/>
      <c r="AD695" s="43"/>
    </row>
    <row r="696">
      <c r="A696" s="43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4"/>
      <c r="P696" s="62"/>
      <c r="Q696" s="62"/>
      <c r="R696" s="62"/>
      <c r="S696" s="62"/>
      <c r="T696" s="62"/>
      <c r="U696" s="62"/>
      <c r="V696" s="62"/>
      <c r="W696" s="62"/>
      <c r="X696" s="62"/>
      <c r="Y696" s="43"/>
      <c r="Z696" s="43"/>
      <c r="AA696" s="43"/>
      <c r="AB696" s="43"/>
      <c r="AC696" s="43"/>
      <c r="AD696" s="43"/>
    </row>
    <row r="697">
      <c r="A697" s="43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4"/>
      <c r="P697" s="62"/>
      <c r="Q697" s="62"/>
      <c r="R697" s="62"/>
      <c r="S697" s="62"/>
      <c r="T697" s="62"/>
      <c r="U697" s="62"/>
      <c r="V697" s="62"/>
      <c r="W697" s="62"/>
      <c r="X697" s="62"/>
      <c r="Y697" s="43"/>
      <c r="Z697" s="43"/>
      <c r="AA697" s="43"/>
      <c r="AB697" s="43"/>
      <c r="AC697" s="43"/>
      <c r="AD697" s="43"/>
    </row>
    <row r="698">
      <c r="A698" s="43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4"/>
      <c r="P698" s="62"/>
      <c r="Q698" s="62"/>
      <c r="R698" s="62"/>
      <c r="S698" s="62"/>
      <c r="T698" s="62"/>
      <c r="U698" s="62"/>
      <c r="V698" s="62"/>
      <c r="W698" s="62"/>
      <c r="X698" s="62"/>
      <c r="Y698" s="43"/>
      <c r="Z698" s="43"/>
      <c r="AA698" s="43"/>
      <c r="AB698" s="43"/>
      <c r="AC698" s="43"/>
      <c r="AD698" s="43"/>
    </row>
    <row r="699">
      <c r="A699" s="43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4"/>
      <c r="P699" s="62"/>
      <c r="Q699" s="62"/>
      <c r="R699" s="62"/>
      <c r="S699" s="62"/>
      <c r="T699" s="62"/>
      <c r="U699" s="62"/>
      <c r="V699" s="62"/>
      <c r="W699" s="62"/>
      <c r="X699" s="62"/>
      <c r="Y699" s="43"/>
      <c r="Z699" s="43"/>
      <c r="AA699" s="43"/>
      <c r="AB699" s="43"/>
      <c r="AC699" s="43"/>
      <c r="AD699" s="43"/>
    </row>
    <row r="700">
      <c r="A700" s="43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4"/>
      <c r="P700" s="62"/>
      <c r="Q700" s="62"/>
      <c r="R700" s="62"/>
      <c r="S700" s="62"/>
      <c r="T700" s="62"/>
      <c r="U700" s="62"/>
      <c r="V700" s="62"/>
      <c r="W700" s="62"/>
      <c r="X700" s="62"/>
      <c r="Y700" s="43"/>
      <c r="Z700" s="43"/>
      <c r="AA700" s="43"/>
      <c r="AB700" s="43"/>
      <c r="AC700" s="43"/>
      <c r="AD700" s="43"/>
    </row>
    <row r="701">
      <c r="A701" s="43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4"/>
      <c r="P701" s="62"/>
      <c r="Q701" s="62"/>
      <c r="R701" s="62"/>
      <c r="S701" s="62"/>
      <c r="T701" s="62"/>
      <c r="U701" s="62"/>
      <c r="V701" s="62"/>
      <c r="W701" s="62"/>
      <c r="X701" s="62"/>
      <c r="Y701" s="43"/>
      <c r="Z701" s="43"/>
      <c r="AA701" s="43"/>
      <c r="AB701" s="43"/>
      <c r="AC701" s="43"/>
      <c r="AD701" s="43"/>
    </row>
    <row r="702">
      <c r="A702" s="43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4"/>
      <c r="P702" s="62"/>
      <c r="Q702" s="62"/>
      <c r="R702" s="62"/>
      <c r="S702" s="62"/>
      <c r="T702" s="62"/>
      <c r="U702" s="62"/>
      <c r="V702" s="62"/>
      <c r="W702" s="62"/>
      <c r="X702" s="62"/>
      <c r="Y702" s="43"/>
      <c r="Z702" s="43"/>
      <c r="AA702" s="43"/>
      <c r="AB702" s="43"/>
      <c r="AC702" s="43"/>
      <c r="AD702" s="43"/>
    </row>
    <row r="703">
      <c r="A703" s="43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4"/>
      <c r="P703" s="62"/>
      <c r="Q703" s="62"/>
      <c r="R703" s="62"/>
      <c r="S703" s="62"/>
      <c r="T703" s="62"/>
      <c r="U703" s="62"/>
      <c r="V703" s="62"/>
      <c r="W703" s="62"/>
      <c r="X703" s="62"/>
      <c r="Y703" s="43"/>
      <c r="Z703" s="43"/>
      <c r="AA703" s="43"/>
      <c r="AB703" s="43"/>
      <c r="AC703" s="43"/>
      <c r="AD703" s="43"/>
    </row>
    <row r="704">
      <c r="A704" s="43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4"/>
      <c r="P704" s="62"/>
      <c r="Q704" s="62"/>
      <c r="R704" s="62"/>
      <c r="S704" s="62"/>
      <c r="T704" s="62"/>
      <c r="U704" s="62"/>
      <c r="V704" s="62"/>
      <c r="W704" s="62"/>
      <c r="X704" s="62"/>
      <c r="Y704" s="43"/>
      <c r="Z704" s="43"/>
      <c r="AA704" s="43"/>
      <c r="AB704" s="43"/>
      <c r="AC704" s="43"/>
      <c r="AD704" s="43"/>
    </row>
    <row r="705">
      <c r="A705" s="43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4"/>
      <c r="P705" s="62"/>
      <c r="Q705" s="62"/>
      <c r="R705" s="62"/>
      <c r="S705" s="62"/>
      <c r="T705" s="62"/>
      <c r="U705" s="62"/>
      <c r="V705" s="62"/>
      <c r="W705" s="62"/>
      <c r="X705" s="62"/>
      <c r="Y705" s="43"/>
      <c r="Z705" s="43"/>
      <c r="AA705" s="43"/>
      <c r="AB705" s="43"/>
      <c r="AC705" s="43"/>
      <c r="AD705" s="43"/>
    </row>
    <row r="706">
      <c r="A706" s="43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4"/>
      <c r="P706" s="62"/>
      <c r="Q706" s="62"/>
      <c r="R706" s="62"/>
      <c r="S706" s="62"/>
      <c r="T706" s="62"/>
      <c r="U706" s="62"/>
      <c r="V706" s="62"/>
      <c r="W706" s="62"/>
      <c r="X706" s="62"/>
      <c r="Y706" s="43"/>
      <c r="Z706" s="43"/>
      <c r="AA706" s="43"/>
      <c r="AB706" s="43"/>
      <c r="AC706" s="43"/>
      <c r="AD706" s="43"/>
    </row>
    <row r="707">
      <c r="A707" s="43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4"/>
      <c r="P707" s="62"/>
      <c r="Q707" s="62"/>
      <c r="R707" s="62"/>
      <c r="S707" s="62"/>
      <c r="T707" s="62"/>
      <c r="U707" s="62"/>
      <c r="V707" s="62"/>
      <c r="W707" s="62"/>
      <c r="X707" s="62"/>
      <c r="Y707" s="43"/>
      <c r="Z707" s="43"/>
      <c r="AA707" s="43"/>
      <c r="AB707" s="43"/>
      <c r="AC707" s="43"/>
      <c r="AD707" s="43"/>
    </row>
    <row r="708">
      <c r="A708" s="43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4"/>
      <c r="P708" s="62"/>
      <c r="Q708" s="62"/>
      <c r="R708" s="62"/>
      <c r="S708" s="62"/>
      <c r="T708" s="62"/>
      <c r="U708" s="62"/>
      <c r="V708" s="62"/>
      <c r="W708" s="62"/>
      <c r="X708" s="62"/>
      <c r="Y708" s="43"/>
      <c r="Z708" s="43"/>
      <c r="AA708" s="43"/>
      <c r="AB708" s="43"/>
      <c r="AC708" s="43"/>
      <c r="AD708" s="43"/>
    </row>
    <row r="709">
      <c r="A709" s="43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4"/>
      <c r="P709" s="62"/>
      <c r="Q709" s="62"/>
      <c r="R709" s="62"/>
      <c r="S709" s="62"/>
      <c r="T709" s="62"/>
      <c r="U709" s="62"/>
      <c r="V709" s="62"/>
      <c r="W709" s="62"/>
      <c r="X709" s="62"/>
      <c r="Y709" s="43"/>
      <c r="Z709" s="43"/>
      <c r="AA709" s="43"/>
      <c r="AB709" s="43"/>
      <c r="AC709" s="43"/>
      <c r="AD709" s="43"/>
    </row>
    <row r="710">
      <c r="A710" s="43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4"/>
      <c r="P710" s="62"/>
      <c r="Q710" s="62"/>
      <c r="R710" s="62"/>
      <c r="S710" s="62"/>
      <c r="T710" s="62"/>
      <c r="U710" s="62"/>
      <c r="V710" s="62"/>
      <c r="W710" s="62"/>
      <c r="X710" s="62"/>
      <c r="Y710" s="43"/>
      <c r="Z710" s="43"/>
      <c r="AA710" s="43"/>
      <c r="AB710" s="43"/>
      <c r="AC710" s="43"/>
      <c r="AD710" s="43"/>
    </row>
    <row r="711">
      <c r="A711" s="43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4"/>
      <c r="P711" s="62"/>
      <c r="Q711" s="62"/>
      <c r="R711" s="62"/>
      <c r="S711" s="62"/>
      <c r="T711" s="62"/>
      <c r="U711" s="62"/>
      <c r="V711" s="62"/>
      <c r="W711" s="62"/>
      <c r="X711" s="62"/>
      <c r="Y711" s="43"/>
      <c r="Z711" s="43"/>
      <c r="AA711" s="43"/>
      <c r="AB711" s="43"/>
      <c r="AC711" s="43"/>
      <c r="AD711" s="43"/>
    </row>
    <row r="712">
      <c r="A712" s="43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4"/>
      <c r="P712" s="62"/>
      <c r="Q712" s="62"/>
      <c r="R712" s="62"/>
      <c r="S712" s="62"/>
      <c r="T712" s="62"/>
      <c r="U712" s="62"/>
      <c r="V712" s="62"/>
      <c r="W712" s="62"/>
      <c r="X712" s="62"/>
      <c r="Y712" s="43"/>
      <c r="Z712" s="43"/>
      <c r="AA712" s="43"/>
      <c r="AB712" s="43"/>
      <c r="AC712" s="43"/>
      <c r="AD712" s="43"/>
    </row>
    <row r="713">
      <c r="A713" s="43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4"/>
      <c r="P713" s="62"/>
      <c r="Q713" s="62"/>
      <c r="R713" s="62"/>
      <c r="S713" s="62"/>
      <c r="T713" s="62"/>
      <c r="U713" s="62"/>
      <c r="V713" s="62"/>
      <c r="W713" s="62"/>
      <c r="X713" s="62"/>
      <c r="Y713" s="43"/>
      <c r="Z713" s="43"/>
      <c r="AA713" s="43"/>
      <c r="AB713" s="43"/>
      <c r="AC713" s="43"/>
      <c r="AD713" s="43"/>
    </row>
    <row r="714">
      <c r="A714" s="43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4"/>
      <c r="P714" s="62"/>
      <c r="Q714" s="62"/>
      <c r="R714" s="62"/>
      <c r="S714" s="62"/>
      <c r="T714" s="62"/>
      <c r="U714" s="62"/>
      <c r="V714" s="62"/>
      <c r="W714" s="62"/>
      <c r="X714" s="62"/>
      <c r="Y714" s="43"/>
      <c r="Z714" s="43"/>
      <c r="AA714" s="43"/>
      <c r="AB714" s="43"/>
      <c r="AC714" s="43"/>
      <c r="AD714" s="43"/>
    </row>
    <row r="715">
      <c r="A715" s="43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4"/>
      <c r="P715" s="62"/>
      <c r="Q715" s="62"/>
      <c r="R715" s="62"/>
      <c r="S715" s="62"/>
      <c r="T715" s="62"/>
      <c r="U715" s="62"/>
      <c r="V715" s="62"/>
      <c r="W715" s="62"/>
      <c r="X715" s="62"/>
      <c r="Y715" s="43"/>
      <c r="Z715" s="43"/>
      <c r="AA715" s="43"/>
      <c r="AB715" s="43"/>
      <c r="AC715" s="43"/>
      <c r="AD715" s="43"/>
    </row>
    <row r="716">
      <c r="A716" s="43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4"/>
      <c r="P716" s="62"/>
      <c r="Q716" s="62"/>
      <c r="R716" s="62"/>
      <c r="S716" s="62"/>
      <c r="T716" s="62"/>
      <c r="U716" s="62"/>
      <c r="V716" s="62"/>
      <c r="W716" s="62"/>
      <c r="X716" s="62"/>
      <c r="Y716" s="43"/>
      <c r="Z716" s="43"/>
      <c r="AA716" s="43"/>
      <c r="AB716" s="43"/>
      <c r="AC716" s="43"/>
      <c r="AD716" s="43"/>
    </row>
    <row r="717">
      <c r="A717" s="43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4"/>
      <c r="P717" s="62"/>
      <c r="Q717" s="62"/>
      <c r="R717" s="62"/>
      <c r="S717" s="62"/>
      <c r="T717" s="62"/>
      <c r="U717" s="62"/>
      <c r="V717" s="62"/>
      <c r="W717" s="62"/>
      <c r="X717" s="62"/>
      <c r="Y717" s="43"/>
      <c r="Z717" s="43"/>
      <c r="AA717" s="43"/>
      <c r="AB717" s="43"/>
      <c r="AC717" s="43"/>
      <c r="AD717" s="43"/>
    </row>
    <row r="718">
      <c r="A718" s="43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4"/>
      <c r="P718" s="62"/>
      <c r="Q718" s="62"/>
      <c r="R718" s="62"/>
      <c r="S718" s="62"/>
      <c r="T718" s="62"/>
      <c r="U718" s="62"/>
      <c r="V718" s="62"/>
      <c r="W718" s="62"/>
      <c r="X718" s="62"/>
      <c r="Y718" s="43"/>
      <c r="Z718" s="43"/>
      <c r="AA718" s="43"/>
      <c r="AB718" s="43"/>
      <c r="AC718" s="43"/>
      <c r="AD718" s="43"/>
    </row>
    <row r="719">
      <c r="A719" s="43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4"/>
      <c r="P719" s="62"/>
      <c r="Q719" s="62"/>
      <c r="R719" s="62"/>
      <c r="S719" s="62"/>
      <c r="T719" s="62"/>
      <c r="U719" s="62"/>
      <c r="V719" s="62"/>
      <c r="W719" s="62"/>
      <c r="X719" s="62"/>
      <c r="Y719" s="43"/>
      <c r="Z719" s="43"/>
      <c r="AA719" s="43"/>
      <c r="AB719" s="43"/>
      <c r="AC719" s="43"/>
      <c r="AD719" s="43"/>
    </row>
    <row r="720">
      <c r="A720" s="43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4"/>
      <c r="P720" s="62"/>
      <c r="Q720" s="62"/>
      <c r="R720" s="62"/>
      <c r="S720" s="62"/>
      <c r="T720" s="62"/>
      <c r="U720" s="62"/>
      <c r="V720" s="62"/>
      <c r="W720" s="62"/>
      <c r="X720" s="62"/>
      <c r="Y720" s="43"/>
      <c r="Z720" s="43"/>
      <c r="AA720" s="43"/>
      <c r="AB720" s="43"/>
      <c r="AC720" s="43"/>
      <c r="AD720" s="43"/>
    </row>
    <row r="721">
      <c r="A721" s="43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4"/>
      <c r="P721" s="62"/>
      <c r="Q721" s="62"/>
      <c r="R721" s="62"/>
      <c r="S721" s="62"/>
      <c r="T721" s="62"/>
      <c r="U721" s="62"/>
      <c r="V721" s="62"/>
      <c r="W721" s="62"/>
      <c r="X721" s="62"/>
      <c r="Y721" s="43"/>
      <c r="Z721" s="43"/>
      <c r="AA721" s="43"/>
      <c r="AB721" s="43"/>
      <c r="AC721" s="43"/>
      <c r="AD721" s="43"/>
    </row>
    <row r="722">
      <c r="A722" s="43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4"/>
      <c r="P722" s="62"/>
      <c r="Q722" s="62"/>
      <c r="R722" s="62"/>
      <c r="S722" s="62"/>
      <c r="T722" s="62"/>
      <c r="U722" s="62"/>
      <c r="V722" s="62"/>
      <c r="W722" s="62"/>
      <c r="X722" s="62"/>
      <c r="Y722" s="43"/>
      <c r="Z722" s="43"/>
      <c r="AA722" s="43"/>
      <c r="AB722" s="43"/>
      <c r="AC722" s="43"/>
      <c r="AD722" s="43"/>
    </row>
    <row r="723">
      <c r="A723" s="43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4"/>
      <c r="P723" s="62"/>
      <c r="Q723" s="62"/>
      <c r="R723" s="62"/>
      <c r="S723" s="62"/>
      <c r="T723" s="62"/>
      <c r="U723" s="62"/>
      <c r="V723" s="62"/>
      <c r="W723" s="62"/>
      <c r="X723" s="62"/>
      <c r="Y723" s="43"/>
      <c r="Z723" s="43"/>
      <c r="AA723" s="43"/>
      <c r="AB723" s="43"/>
      <c r="AC723" s="43"/>
      <c r="AD723" s="43"/>
    </row>
    <row r="724">
      <c r="A724" s="43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4"/>
      <c r="P724" s="62"/>
      <c r="Q724" s="62"/>
      <c r="R724" s="62"/>
      <c r="S724" s="62"/>
      <c r="T724" s="62"/>
      <c r="U724" s="62"/>
      <c r="V724" s="62"/>
      <c r="W724" s="62"/>
      <c r="X724" s="62"/>
      <c r="Y724" s="43"/>
      <c r="Z724" s="43"/>
      <c r="AA724" s="43"/>
      <c r="AB724" s="43"/>
      <c r="AC724" s="43"/>
      <c r="AD724" s="43"/>
    </row>
    <row r="725">
      <c r="A725" s="43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4"/>
      <c r="P725" s="62"/>
      <c r="Q725" s="62"/>
      <c r="R725" s="62"/>
      <c r="S725" s="62"/>
      <c r="T725" s="62"/>
      <c r="U725" s="62"/>
      <c r="V725" s="62"/>
      <c r="W725" s="62"/>
      <c r="X725" s="62"/>
      <c r="Y725" s="43"/>
      <c r="Z725" s="43"/>
      <c r="AA725" s="43"/>
      <c r="AB725" s="43"/>
      <c r="AC725" s="43"/>
      <c r="AD725" s="43"/>
    </row>
    <row r="726">
      <c r="A726" s="43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4"/>
      <c r="P726" s="62"/>
      <c r="Q726" s="62"/>
      <c r="R726" s="62"/>
      <c r="S726" s="62"/>
      <c r="T726" s="62"/>
      <c r="U726" s="62"/>
      <c r="V726" s="62"/>
      <c r="W726" s="62"/>
      <c r="X726" s="62"/>
      <c r="Y726" s="43"/>
      <c r="Z726" s="43"/>
      <c r="AA726" s="43"/>
      <c r="AB726" s="43"/>
      <c r="AC726" s="43"/>
      <c r="AD726" s="43"/>
    </row>
    <row r="727">
      <c r="A727" s="43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4"/>
      <c r="P727" s="62"/>
      <c r="Q727" s="62"/>
      <c r="R727" s="62"/>
      <c r="S727" s="62"/>
      <c r="T727" s="62"/>
      <c r="U727" s="62"/>
      <c r="V727" s="62"/>
      <c r="W727" s="62"/>
      <c r="X727" s="62"/>
      <c r="Y727" s="43"/>
      <c r="Z727" s="43"/>
      <c r="AA727" s="43"/>
      <c r="AB727" s="43"/>
      <c r="AC727" s="43"/>
      <c r="AD727" s="43"/>
    </row>
    <row r="728">
      <c r="A728" s="43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4"/>
      <c r="P728" s="62"/>
      <c r="Q728" s="62"/>
      <c r="R728" s="62"/>
      <c r="S728" s="62"/>
      <c r="T728" s="62"/>
      <c r="U728" s="62"/>
      <c r="V728" s="62"/>
      <c r="W728" s="62"/>
      <c r="X728" s="62"/>
      <c r="Y728" s="43"/>
      <c r="Z728" s="43"/>
      <c r="AA728" s="43"/>
      <c r="AB728" s="43"/>
      <c r="AC728" s="43"/>
      <c r="AD728" s="43"/>
    </row>
    <row r="729">
      <c r="A729" s="43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4"/>
      <c r="P729" s="62"/>
      <c r="Q729" s="62"/>
      <c r="R729" s="62"/>
      <c r="S729" s="62"/>
      <c r="T729" s="62"/>
      <c r="U729" s="62"/>
      <c r="V729" s="62"/>
      <c r="W729" s="62"/>
      <c r="X729" s="62"/>
      <c r="Y729" s="43"/>
      <c r="Z729" s="43"/>
      <c r="AA729" s="43"/>
      <c r="AB729" s="43"/>
      <c r="AC729" s="43"/>
      <c r="AD729" s="43"/>
    </row>
    <row r="730">
      <c r="A730" s="43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4"/>
      <c r="P730" s="62"/>
      <c r="Q730" s="62"/>
      <c r="R730" s="62"/>
      <c r="S730" s="62"/>
      <c r="T730" s="62"/>
      <c r="U730" s="62"/>
      <c r="V730" s="62"/>
      <c r="W730" s="62"/>
      <c r="X730" s="62"/>
      <c r="Y730" s="43"/>
      <c r="Z730" s="43"/>
      <c r="AA730" s="43"/>
      <c r="AB730" s="43"/>
      <c r="AC730" s="43"/>
      <c r="AD730" s="43"/>
    </row>
    <row r="731">
      <c r="A731" s="43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4"/>
      <c r="P731" s="62"/>
      <c r="Q731" s="62"/>
      <c r="R731" s="62"/>
      <c r="S731" s="62"/>
      <c r="T731" s="62"/>
      <c r="U731" s="62"/>
      <c r="V731" s="62"/>
      <c r="W731" s="62"/>
      <c r="X731" s="62"/>
      <c r="Y731" s="43"/>
      <c r="Z731" s="43"/>
      <c r="AA731" s="43"/>
      <c r="AB731" s="43"/>
      <c r="AC731" s="43"/>
      <c r="AD731" s="43"/>
    </row>
    <row r="732">
      <c r="A732" s="43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4"/>
      <c r="P732" s="62"/>
      <c r="Q732" s="62"/>
      <c r="R732" s="62"/>
      <c r="S732" s="62"/>
      <c r="T732" s="62"/>
      <c r="U732" s="62"/>
      <c r="V732" s="62"/>
      <c r="W732" s="62"/>
      <c r="X732" s="62"/>
      <c r="Y732" s="43"/>
      <c r="Z732" s="43"/>
      <c r="AA732" s="43"/>
      <c r="AB732" s="43"/>
      <c r="AC732" s="43"/>
      <c r="AD732" s="43"/>
    </row>
    <row r="733">
      <c r="A733" s="43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4"/>
      <c r="P733" s="62"/>
      <c r="Q733" s="62"/>
      <c r="R733" s="62"/>
      <c r="S733" s="62"/>
      <c r="T733" s="62"/>
      <c r="U733" s="62"/>
      <c r="V733" s="62"/>
      <c r="W733" s="62"/>
      <c r="X733" s="62"/>
      <c r="Y733" s="43"/>
      <c r="Z733" s="43"/>
      <c r="AA733" s="43"/>
      <c r="AB733" s="43"/>
      <c r="AC733" s="43"/>
      <c r="AD733" s="43"/>
    </row>
    <row r="734">
      <c r="A734" s="43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4"/>
      <c r="P734" s="62"/>
      <c r="Q734" s="62"/>
      <c r="R734" s="62"/>
      <c r="S734" s="62"/>
      <c r="T734" s="62"/>
      <c r="U734" s="62"/>
      <c r="V734" s="62"/>
      <c r="W734" s="62"/>
      <c r="X734" s="62"/>
      <c r="Y734" s="43"/>
      <c r="Z734" s="43"/>
      <c r="AA734" s="43"/>
      <c r="AB734" s="43"/>
      <c r="AC734" s="43"/>
      <c r="AD734" s="43"/>
    </row>
    <row r="735">
      <c r="A735" s="43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4"/>
      <c r="P735" s="62"/>
      <c r="Q735" s="62"/>
      <c r="R735" s="62"/>
      <c r="S735" s="62"/>
      <c r="T735" s="62"/>
      <c r="U735" s="62"/>
      <c r="V735" s="62"/>
      <c r="W735" s="62"/>
      <c r="X735" s="62"/>
      <c r="Y735" s="43"/>
      <c r="Z735" s="43"/>
      <c r="AA735" s="43"/>
      <c r="AB735" s="43"/>
      <c r="AC735" s="43"/>
      <c r="AD735" s="43"/>
    </row>
    <row r="736">
      <c r="A736" s="43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4"/>
      <c r="P736" s="62"/>
      <c r="Q736" s="62"/>
      <c r="R736" s="62"/>
      <c r="S736" s="62"/>
      <c r="T736" s="62"/>
      <c r="U736" s="62"/>
      <c r="V736" s="62"/>
      <c r="W736" s="62"/>
      <c r="X736" s="62"/>
      <c r="Y736" s="43"/>
      <c r="Z736" s="43"/>
      <c r="AA736" s="43"/>
      <c r="AB736" s="43"/>
      <c r="AC736" s="43"/>
      <c r="AD736" s="43"/>
    </row>
    <row r="737">
      <c r="A737" s="43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4"/>
      <c r="P737" s="62"/>
      <c r="Q737" s="62"/>
      <c r="R737" s="62"/>
      <c r="S737" s="62"/>
      <c r="T737" s="62"/>
      <c r="U737" s="62"/>
      <c r="V737" s="62"/>
      <c r="W737" s="62"/>
      <c r="X737" s="62"/>
      <c r="Y737" s="43"/>
      <c r="Z737" s="43"/>
      <c r="AA737" s="43"/>
      <c r="AB737" s="43"/>
      <c r="AC737" s="43"/>
      <c r="AD737" s="43"/>
    </row>
    <row r="738">
      <c r="A738" s="43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4"/>
      <c r="P738" s="62"/>
      <c r="Q738" s="62"/>
      <c r="R738" s="62"/>
      <c r="S738" s="62"/>
      <c r="T738" s="62"/>
      <c r="U738" s="62"/>
      <c r="V738" s="62"/>
      <c r="W738" s="62"/>
      <c r="X738" s="62"/>
      <c r="Y738" s="43"/>
      <c r="Z738" s="43"/>
      <c r="AA738" s="43"/>
      <c r="AB738" s="43"/>
      <c r="AC738" s="43"/>
      <c r="AD738" s="43"/>
    </row>
    <row r="739">
      <c r="A739" s="43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4"/>
      <c r="P739" s="62"/>
      <c r="Q739" s="62"/>
      <c r="R739" s="62"/>
      <c r="S739" s="62"/>
      <c r="T739" s="62"/>
      <c r="U739" s="62"/>
      <c r="V739" s="62"/>
      <c r="W739" s="62"/>
      <c r="X739" s="62"/>
      <c r="Y739" s="43"/>
      <c r="Z739" s="43"/>
      <c r="AA739" s="43"/>
      <c r="AB739" s="43"/>
      <c r="AC739" s="43"/>
      <c r="AD739" s="43"/>
    </row>
    <row r="740">
      <c r="A740" s="43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4"/>
      <c r="P740" s="62"/>
      <c r="Q740" s="62"/>
      <c r="R740" s="62"/>
      <c r="S740" s="62"/>
      <c r="T740" s="62"/>
      <c r="U740" s="62"/>
      <c r="V740" s="62"/>
      <c r="W740" s="62"/>
      <c r="X740" s="62"/>
      <c r="Y740" s="43"/>
      <c r="Z740" s="43"/>
      <c r="AA740" s="43"/>
      <c r="AB740" s="43"/>
      <c r="AC740" s="43"/>
      <c r="AD740" s="43"/>
    </row>
    <row r="741">
      <c r="A741" s="43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4"/>
      <c r="P741" s="62"/>
      <c r="Q741" s="62"/>
      <c r="R741" s="62"/>
      <c r="S741" s="62"/>
      <c r="T741" s="62"/>
      <c r="U741" s="62"/>
      <c r="V741" s="62"/>
      <c r="W741" s="62"/>
      <c r="X741" s="62"/>
      <c r="Y741" s="43"/>
      <c r="Z741" s="43"/>
      <c r="AA741" s="43"/>
      <c r="AB741" s="43"/>
      <c r="AC741" s="43"/>
      <c r="AD741" s="43"/>
    </row>
    <row r="742">
      <c r="A742" s="43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4"/>
      <c r="P742" s="62"/>
      <c r="Q742" s="62"/>
      <c r="R742" s="62"/>
      <c r="S742" s="62"/>
      <c r="T742" s="62"/>
      <c r="U742" s="62"/>
      <c r="V742" s="62"/>
      <c r="W742" s="62"/>
      <c r="X742" s="62"/>
      <c r="Y742" s="43"/>
      <c r="Z742" s="43"/>
      <c r="AA742" s="43"/>
      <c r="AB742" s="43"/>
      <c r="AC742" s="43"/>
      <c r="AD742" s="43"/>
    </row>
    <row r="743">
      <c r="A743" s="43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4"/>
      <c r="P743" s="62"/>
      <c r="Q743" s="62"/>
      <c r="R743" s="62"/>
      <c r="S743" s="62"/>
      <c r="T743" s="62"/>
      <c r="U743" s="62"/>
      <c r="V743" s="62"/>
      <c r="W743" s="62"/>
      <c r="X743" s="62"/>
      <c r="Y743" s="43"/>
      <c r="Z743" s="43"/>
      <c r="AA743" s="43"/>
      <c r="AB743" s="43"/>
      <c r="AC743" s="43"/>
      <c r="AD743" s="43"/>
    </row>
    <row r="744">
      <c r="A744" s="43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4"/>
      <c r="P744" s="62"/>
      <c r="Q744" s="62"/>
      <c r="R744" s="62"/>
      <c r="S744" s="62"/>
      <c r="T744" s="62"/>
      <c r="U744" s="62"/>
      <c r="V744" s="62"/>
      <c r="W744" s="62"/>
      <c r="X744" s="62"/>
      <c r="Y744" s="43"/>
      <c r="Z744" s="43"/>
      <c r="AA744" s="43"/>
      <c r="AB744" s="43"/>
      <c r="AC744" s="43"/>
      <c r="AD744" s="43"/>
    </row>
    <row r="745">
      <c r="A745" s="43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4"/>
      <c r="P745" s="62"/>
      <c r="Q745" s="62"/>
      <c r="R745" s="62"/>
      <c r="S745" s="62"/>
      <c r="T745" s="62"/>
      <c r="U745" s="62"/>
      <c r="V745" s="62"/>
      <c r="W745" s="62"/>
      <c r="X745" s="62"/>
      <c r="Y745" s="43"/>
      <c r="Z745" s="43"/>
      <c r="AA745" s="43"/>
      <c r="AB745" s="43"/>
      <c r="AC745" s="43"/>
      <c r="AD745" s="43"/>
    </row>
    <row r="746">
      <c r="A746" s="43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4"/>
      <c r="P746" s="62"/>
      <c r="Q746" s="62"/>
      <c r="R746" s="62"/>
      <c r="S746" s="62"/>
      <c r="T746" s="62"/>
      <c r="U746" s="62"/>
      <c r="V746" s="62"/>
      <c r="W746" s="62"/>
      <c r="X746" s="62"/>
      <c r="Y746" s="43"/>
      <c r="Z746" s="43"/>
      <c r="AA746" s="43"/>
      <c r="AB746" s="43"/>
      <c r="AC746" s="43"/>
      <c r="AD746" s="43"/>
    </row>
    <row r="747">
      <c r="A747" s="43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4"/>
      <c r="P747" s="62"/>
      <c r="Q747" s="62"/>
      <c r="R747" s="62"/>
      <c r="S747" s="62"/>
      <c r="T747" s="62"/>
      <c r="U747" s="62"/>
      <c r="V747" s="62"/>
      <c r="W747" s="62"/>
      <c r="X747" s="62"/>
      <c r="Y747" s="43"/>
      <c r="Z747" s="43"/>
      <c r="AA747" s="43"/>
      <c r="AB747" s="43"/>
      <c r="AC747" s="43"/>
      <c r="AD747" s="43"/>
    </row>
    <row r="748">
      <c r="A748" s="43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4"/>
      <c r="P748" s="62"/>
      <c r="Q748" s="62"/>
      <c r="R748" s="62"/>
      <c r="S748" s="62"/>
      <c r="T748" s="62"/>
      <c r="U748" s="62"/>
      <c r="V748" s="62"/>
      <c r="W748" s="62"/>
      <c r="X748" s="62"/>
      <c r="Y748" s="43"/>
      <c r="Z748" s="43"/>
      <c r="AA748" s="43"/>
      <c r="AB748" s="43"/>
      <c r="AC748" s="43"/>
      <c r="AD748" s="43"/>
    </row>
    <row r="749">
      <c r="A749" s="43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4"/>
      <c r="P749" s="62"/>
      <c r="Q749" s="62"/>
      <c r="R749" s="62"/>
      <c r="S749" s="62"/>
      <c r="T749" s="62"/>
      <c r="U749" s="62"/>
      <c r="V749" s="62"/>
      <c r="W749" s="62"/>
      <c r="X749" s="62"/>
      <c r="Y749" s="43"/>
      <c r="Z749" s="43"/>
      <c r="AA749" s="43"/>
      <c r="AB749" s="43"/>
      <c r="AC749" s="43"/>
      <c r="AD749" s="43"/>
    </row>
    <row r="750">
      <c r="A750" s="43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4"/>
      <c r="P750" s="62"/>
      <c r="Q750" s="62"/>
      <c r="R750" s="62"/>
      <c r="S750" s="62"/>
      <c r="T750" s="62"/>
      <c r="U750" s="62"/>
      <c r="V750" s="62"/>
      <c r="W750" s="62"/>
      <c r="X750" s="62"/>
      <c r="Y750" s="43"/>
      <c r="Z750" s="43"/>
      <c r="AA750" s="43"/>
      <c r="AB750" s="43"/>
      <c r="AC750" s="43"/>
      <c r="AD750" s="43"/>
    </row>
    <row r="751">
      <c r="A751" s="43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4"/>
      <c r="P751" s="62"/>
      <c r="Q751" s="62"/>
      <c r="R751" s="62"/>
      <c r="S751" s="62"/>
      <c r="T751" s="62"/>
      <c r="U751" s="62"/>
      <c r="V751" s="62"/>
      <c r="W751" s="62"/>
      <c r="X751" s="62"/>
      <c r="Y751" s="43"/>
      <c r="Z751" s="43"/>
      <c r="AA751" s="43"/>
      <c r="AB751" s="43"/>
      <c r="AC751" s="43"/>
      <c r="AD751" s="43"/>
    </row>
    <row r="752">
      <c r="A752" s="43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4"/>
      <c r="P752" s="62"/>
      <c r="Q752" s="62"/>
      <c r="R752" s="62"/>
      <c r="S752" s="62"/>
      <c r="T752" s="62"/>
      <c r="U752" s="62"/>
      <c r="V752" s="62"/>
      <c r="W752" s="62"/>
      <c r="X752" s="62"/>
      <c r="Y752" s="43"/>
      <c r="Z752" s="43"/>
      <c r="AA752" s="43"/>
      <c r="AB752" s="43"/>
      <c r="AC752" s="43"/>
      <c r="AD752" s="43"/>
    </row>
    <row r="753">
      <c r="A753" s="43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4"/>
      <c r="P753" s="62"/>
      <c r="Q753" s="62"/>
      <c r="R753" s="62"/>
      <c r="S753" s="62"/>
      <c r="T753" s="62"/>
      <c r="U753" s="62"/>
      <c r="V753" s="62"/>
      <c r="W753" s="62"/>
      <c r="X753" s="62"/>
      <c r="Y753" s="43"/>
      <c r="Z753" s="43"/>
      <c r="AA753" s="43"/>
      <c r="AB753" s="43"/>
      <c r="AC753" s="43"/>
      <c r="AD753" s="43"/>
    </row>
    <row r="754">
      <c r="A754" s="43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4"/>
      <c r="P754" s="62"/>
      <c r="Q754" s="62"/>
      <c r="R754" s="62"/>
      <c r="S754" s="62"/>
      <c r="T754" s="62"/>
      <c r="U754" s="62"/>
      <c r="V754" s="62"/>
      <c r="W754" s="62"/>
      <c r="X754" s="62"/>
      <c r="Y754" s="43"/>
      <c r="Z754" s="43"/>
      <c r="AA754" s="43"/>
      <c r="AB754" s="43"/>
      <c r="AC754" s="43"/>
      <c r="AD754" s="43"/>
    </row>
    <row r="755">
      <c r="A755" s="43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4"/>
      <c r="P755" s="62"/>
      <c r="Q755" s="62"/>
      <c r="R755" s="62"/>
      <c r="S755" s="62"/>
      <c r="T755" s="62"/>
      <c r="U755" s="62"/>
      <c r="V755" s="62"/>
      <c r="W755" s="62"/>
      <c r="X755" s="62"/>
      <c r="Y755" s="43"/>
      <c r="Z755" s="43"/>
      <c r="AA755" s="43"/>
      <c r="AB755" s="43"/>
      <c r="AC755" s="43"/>
      <c r="AD755" s="43"/>
    </row>
    <row r="756">
      <c r="A756" s="43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4"/>
      <c r="P756" s="62"/>
      <c r="Q756" s="62"/>
      <c r="R756" s="62"/>
      <c r="S756" s="62"/>
      <c r="T756" s="62"/>
      <c r="U756" s="62"/>
      <c r="V756" s="62"/>
      <c r="W756" s="62"/>
      <c r="X756" s="62"/>
      <c r="Y756" s="43"/>
      <c r="Z756" s="43"/>
      <c r="AA756" s="43"/>
      <c r="AB756" s="43"/>
      <c r="AC756" s="43"/>
      <c r="AD756" s="43"/>
    </row>
    <row r="757">
      <c r="A757" s="43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4"/>
      <c r="P757" s="62"/>
      <c r="Q757" s="62"/>
      <c r="R757" s="62"/>
      <c r="S757" s="62"/>
      <c r="T757" s="62"/>
      <c r="U757" s="62"/>
      <c r="V757" s="62"/>
      <c r="W757" s="62"/>
      <c r="X757" s="62"/>
      <c r="Y757" s="43"/>
      <c r="Z757" s="43"/>
      <c r="AA757" s="43"/>
      <c r="AB757" s="43"/>
      <c r="AC757" s="43"/>
      <c r="AD757" s="43"/>
    </row>
    <row r="758">
      <c r="A758" s="43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4"/>
      <c r="P758" s="62"/>
      <c r="Q758" s="62"/>
      <c r="R758" s="62"/>
      <c r="S758" s="62"/>
      <c r="T758" s="62"/>
      <c r="U758" s="62"/>
      <c r="V758" s="62"/>
      <c r="W758" s="62"/>
      <c r="X758" s="62"/>
      <c r="Y758" s="43"/>
      <c r="Z758" s="43"/>
      <c r="AA758" s="43"/>
      <c r="AB758" s="43"/>
      <c r="AC758" s="43"/>
      <c r="AD758" s="43"/>
    </row>
    <row r="759">
      <c r="A759" s="43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4"/>
      <c r="P759" s="62"/>
      <c r="Q759" s="62"/>
      <c r="R759" s="62"/>
      <c r="S759" s="62"/>
      <c r="T759" s="62"/>
      <c r="U759" s="62"/>
      <c r="V759" s="62"/>
      <c r="W759" s="62"/>
      <c r="X759" s="62"/>
      <c r="Y759" s="43"/>
      <c r="Z759" s="43"/>
      <c r="AA759" s="43"/>
      <c r="AB759" s="43"/>
      <c r="AC759" s="43"/>
      <c r="AD759" s="43"/>
    </row>
    <row r="760">
      <c r="A760" s="43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4"/>
      <c r="P760" s="62"/>
      <c r="Q760" s="62"/>
      <c r="R760" s="62"/>
      <c r="S760" s="62"/>
      <c r="T760" s="62"/>
      <c r="U760" s="62"/>
      <c r="V760" s="62"/>
      <c r="W760" s="62"/>
      <c r="X760" s="62"/>
      <c r="Y760" s="43"/>
      <c r="Z760" s="43"/>
      <c r="AA760" s="43"/>
      <c r="AB760" s="43"/>
      <c r="AC760" s="43"/>
      <c r="AD760" s="43"/>
    </row>
    <row r="761">
      <c r="A761" s="43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4"/>
      <c r="P761" s="62"/>
      <c r="Q761" s="62"/>
      <c r="R761" s="62"/>
      <c r="S761" s="62"/>
      <c r="T761" s="62"/>
      <c r="U761" s="62"/>
      <c r="V761" s="62"/>
      <c r="W761" s="62"/>
      <c r="X761" s="62"/>
      <c r="Y761" s="43"/>
      <c r="Z761" s="43"/>
      <c r="AA761" s="43"/>
      <c r="AB761" s="43"/>
      <c r="AC761" s="43"/>
      <c r="AD761" s="43"/>
    </row>
    <row r="762">
      <c r="A762" s="43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4"/>
      <c r="P762" s="62"/>
      <c r="Q762" s="62"/>
      <c r="R762" s="62"/>
      <c r="S762" s="62"/>
      <c r="T762" s="62"/>
      <c r="U762" s="62"/>
      <c r="V762" s="62"/>
      <c r="W762" s="62"/>
      <c r="X762" s="62"/>
      <c r="Y762" s="43"/>
      <c r="Z762" s="43"/>
      <c r="AA762" s="43"/>
      <c r="AB762" s="43"/>
      <c r="AC762" s="43"/>
      <c r="AD762" s="43"/>
    </row>
    <row r="763">
      <c r="A763" s="43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4"/>
      <c r="P763" s="62"/>
      <c r="Q763" s="62"/>
      <c r="R763" s="62"/>
      <c r="S763" s="62"/>
      <c r="T763" s="62"/>
      <c r="U763" s="62"/>
      <c r="V763" s="62"/>
      <c r="W763" s="62"/>
      <c r="X763" s="62"/>
      <c r="Y763" s="43"/>
      <c r="Z763" s="43"/>
      <c r="AA763" s="43"/>
      <c r="AB763" s="43"/>
      <c r="AC763" s="43"/>
      <c r="AD763" s="43"/>
    </row>
    <row r="764">
      <c r="A764" s="43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4"/>
      <c r="P764" s="62"/>
      <c r="Q764" s="62"/>
      <c r="R764" s="62"/>
      <c r="S764" s="62"/>
      <c r="T764" s="62"/>
      <c r="U764" s="62"/>
      <c r="V764" s="62"/>
      <c r="W764" s="62"/>
      <c r="X764" s="62"/>
      <c r="Y764" s="43"/>
      <c r="Z764" s="43"/>
      <c r="AA764" s="43"/>
      <c r="AB764" s="43"/>
      <c r="AC764" s="43"/>
      <c r="AD764" s="43"/>
    </row>
    <row r="765">
      <c r="A765" s="43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4"/>
      <c r="P765" s="62"/>
      <c r="Q765" s="62"/>
      <c r="R765" s="62"/>
      <c r="S765" s="62"/>
      <c r="T765" s="62"/>
      <c r="U765" s="62"/>
      <c r="V765" s="62"/>
      <c r="W765" s="62"/>
      <c r="X765" s="62"/>
      <c r="Y765" s="43"/>
      <c r="Z765" s="43"/>
      <c r="AA765" s="43"/>
      <c r="AB765" s="43"/>
      <c r="AC765" s="43"/>
      <c r="AD765" s="43"/>
    </row>
    <row r="766">
      <c r="A766" s="43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4"/>
      <c r="P766" s="62"/>
      <c r="Q766" s="62"/>
      <c r="R766" s="62"/>
      <c r="S766" s="62"/>
      <c r="T766" s="62"/>
      <c r="U766" s="62"/>
      <c r="V766" s="62"/>
      <c r="W766" s="62"/>
      <c r="X766" s="62"/>
      <c r="Y766" s="43"/>
      <c r="Z766" s="43"/>
      <c r="AA766" s="43"/>
      <c r="AB766" s="43"/>
      <c r="AC766" s="43"/>
      <c r="AD766" s="43"/>
    </row>
    <row r="767">
      <c r="A767" s="43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4"/>
      <c r="P767" s="62"/>
      <c r="Q767" s="62"/>
      <c r="R767" s="62"/>
      <c r="S767" s="62"/>
      <c r="T767" s="62"/>
      <c r="U767" s="62"/>
      <c r="V767" s="62"/>
      <c r="W767" s="62"/>
      <c r="X767" s="62"/>
      <c r="Y767" s="43"/>
      <c r="Z767" s="43"/>
      <c r="AA767" s="43"/>
      <c r="AB767" s="43"/>
      <c r="AC767" s="43"/>
      <c r="AD767" s="43"/>
    </row>
    <row r="768">
      <c r="A768" s="43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4"/>
      <c r="P768" s="62"/>
      <c r="Q768" s="62"/>
      <c r="R768" s="62"/>
      <c r="S768" s="62"/>
      <c r="T768" s="62"/>
      <c r="U768" s="62"/>
      <c r="V768" s="62"/>
      <c r="W768" s="62"/>
      <c r="X768" s="62"/>
      <c r="Y768" s="43"/>
      <c r="Z768" s="43"/>
      <c r="AA768" s="43"/>
      <c r="AB768" s="43"/>
      <c r="AC768" s="43"/>
      <c r="AD768" s="43"/>
    </row>
    <row r="769">
      <c r="A769" s="43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4"/>
      <c r="P769" s="62"/>
      <c r="Q769" s="62"/>
      <c r="R769" s="62"/>
      <c r="S769" s="62"/>
      <c r="T769" s="62"/>
      <c r="U769" s="62"/>
      <c r="V769" s="62"/>
      <c r="W769" s="62"/>
      <c r="X769" s="62"/>
      <c r="Y769" s="43"/>
      <c r="Z769" s="43"/>
      <c r="AA769" s="43"/>
      <c r="AB769" s="43"/>
      <c r="AC769" s="43"/>
      <c r="AD769" s="43"/>
    </row>
    <row r="770">
      <c r="A770" s="43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4"/>
      <c r="P770" s="62"/>
      <c r="Q770" s="62"/>
      <c r="R770" s="62"/>
      <c r="S770" s="62"/>
      <c r="T770" s="62"/>
      <c r="U770" s="62"/>
      <c r="V770" s="62"/>
      <c r="W770" s="62"/>
      <c r="X770" s="62"/>
      <c r="Y770" s="43"/>
      <c r="Z770" s="43"/>
      <c r="AA770" s="43"/>
      <c r="AB770" s="43"/>
      <c r="AC770" s="43"/>
      <c r="AD770" s="43"/>
    </row>
    <row r="771">
      <c r="A771" s="43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4"/>
      <c r="P771" s="62"/>
      <c r="Q771" s="62"/>
      <c r="R771" s="62"/>
      <c r="S771" s="62"/>
      <c r="T771" s="62"/>
      <c r="U771" s="62"/>
      <c r="V771" s="62"/>
      <c r="W771" s="62"/>
      <c r="X771" s="62"/>
      <c r="Y771" s="43"/>
      <c r="Z771" s="43"/>
      <c r="AA771" s="43"/>
      <c r="AB771" s="43"/>
      <c r="AC771" s="43"/>
      <c r="AD771" s="43"/>
    </row>
    <row r="772">
      <c r="A772" s="43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4"/>
      <c r="P772" s="62"/>
      <c r="Q772" s="62"/>
      <c r="R772" s="62"/>
      <c r="S772" s="62"/>
      <c r="T772" s="62"/>
      <c r="U772" s="62"/>
      <c r="V772" s="62"/>
      <c r="W772" s="62"/>
      <c r="X772" s="62"/>
      <c r="Y772" s="43"/>
      <c r="Z772" s="43"/>
      <c r="AA772" s="43"/>
      <c r="AB772" s="43"/>
      <c r="AC772" s="43"/>
      <c r="AD772" s="43"/>
    </row>
    <row r="773">
      <c r="A773" s="43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4"/>
      <c r="P773" s="62"/>
      <c r="Q773" s="62"/>
      <c r="R773" s="62"/>
      <c r="S773" s="62"/>
      <c r="T773" s="62"/>
      <c r="U773" s="62"/>
      <c r="V773" s="62"/>
      <c r="W773" s="62"/>
      <c r="X773" s="62"/>
      <c r="Y773" s="43"/>
      <c r="Z773" s="43"/>
      <c r="AA773" s="43"/>
      <c r="AB773" s="43"/>
      <c r="AC773" s="43"/>
      <c r="AD773" s="43"/>
    </row>
    <row r="774">
      <c r="A774" s="43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4"/>
      <c r="P774" s="62"/>
      <c r="Q774" s="62"/>
      <c r="R774" s="62"/>
      <c r="S774" s="62"/>
      <c r="T774" s="62"/>
      <c r="U774" s="62"/>
      <c r="V774" s="62"/>
      <c r="W774" s="62"/>
      <c r="X774" s="62"/>
      <c r="Y774" s="43"/>
      <c r="Z774" s="43"/>
      <c r="AA774" s="43"/>
      <c r="AB774" s="43"/>
      <c r="AC774" s="43"/>
      <c r="AD774" s="43"/>
    </row>
    <row r="775">
      <c r="A775" s="43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4"/>
      <c r="P775" s="62"/>
      <c r="Q775" s="62"/>
      <c r="R775" s="62"/>
      <c r="S775" s="62"/>
      <c r="T775" s="62"/>
      <c r="U775" s="62"/>
      <c r="V775" s="62"/>
      <c r="W775" s="62"/>
      <c r="X775" s="62"/>
      <c r="Y775" s="43"/>
      <c r="Z775" s="43"/>
      <c r="AA775" s="43"/>
      <c r="AB775" s="43"/>
      <c r="AC775" s="43"/>
      <c r="AD775" s="43"/>
    </row>
    <row r="776">
      <c r="A776" s="43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4"/>
      <c r="P776" s="62"/>
      <c r="Q776" s="62"/>
      <c r="R776" s="62"/>
      <c r="S776" s="62"/>
      <c r="T776" s="62"/>
      <c r="U776" s="62"/>
      <c r="V776" s="62"/>
      <c r="W776" s="62"/>
      <c r="X776" s="62"/>
      <c r="Y776" s="43"/>
      <c r="Z776" s="43"/>
      <c r="AA776" s="43"/>
      <c r="AB776" s="43"/>
      <c r="AC776" s="43"/>
      <c r="AD776" s="43"/>
    </row>
    <row r="777">
      <c r="A777" s="43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4"/>
      <c r="P777" s="62"/>
      <c r="Q777" s="62"/>
      <c r="R777" s="62"/>
      <c r="S777" s="62"/>
      <c r="T777" s="62"/>
      <c r="U777" s="62"/>
      <c r="V777" s="62"/>
      <c r="W777" s="62"/>
      <c r="X777" s="62"/>
      <c r="Y777" s="43"/>
      <c r="Z777" s="43"/>
      <c r="AA777" s="43"/>
      <c r="AB777" s="43"/>
      <c r="AC777" s="43"/>
      <c r="AD777" s="43"/>
    </row>
    <row r="778">
      <c r="A778" s="43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4"/>
      <c r="P778" s="62"/>
      <c r="Q778" s="62"/>
      <c r="R778" s="62"/>
      <c r="S778" s="62"/>
      <c r="T778" s="62"/>
      <c r="U778" s="62"/>
      <c r="V778" s="62"/>
      <c r="W778" s="62"/>
      <c r="X778" s="62"/>
      <c r="Y778" s="43"/>
      <c r="Z778" s="43"/>
      <c r="AA778" s="43"/>
      <c r="AB778" s="43"/>
      <c r="AC778" s="43"/>
      <c r="AD778" s="43"/>
    </row>
    <row r="779">
      <c r="A779" s="43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4"/>
      <c r="P779" s="62"/>
      <c r="Q779" s="62"/>
      <c r="R779" s="62"/>
      <c r="S779" s="62"/>
      <c r="T779" s="62"/>
      <c r="U779" s="62"/>
      <c r="V779" s="62"/>
      <c r="W779" s="62"/>
      <c r="X779" s="62"/>
      <c r="Y779" s="43"/>
      <c r="Z779" s="43"/>
      <c r="AA779" s="43"/>
      <c r="AB779" s="43"/>
      <c r="AC779" s="43"/>
      <c r="AD779" s="43"/>
    </row>
    <row r="780">
      <c r="A780" s="43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4"/>
      <c r="P780" s="62"/>
      <c r="Q780" s="62"/>
      <c r="R780" s="62"/>
      <c r="S780" s="62"/>
      <c r="T780" s="62"/>
      <c r="U780" s="62"/>
      <c r="V780" s="62"/>
      <c r="W780" s="62"/>
      <c r="X780" s="62"/>
      <c r="Y780" s="43"/>
      <c r="Z780" s="43"/>
      <c r="AA780" s="43"/>
      <c r="AB780" s="43"/>
      <c r="AC780" s="43"/>
      <c r="AD780" s="43"/>
    </row>
    <row r="781">
      <c r="A781" s="43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4"/>
      <c r="P781" s="62"/>
      <c r="Q781" s="62"/>
      <c r="R781" s="62"/>
      <c r="S781" s="62"/>
      <c r="T781" s="62"/>
      <c r="U781" s="62"/>
      <c r="V781" s="62"/>
      <c r="W781" s="62"/>
      <c r="X781" s="62"/>
      <c r="Y781" s="43"/>
      <c r="Z781" s="43"/>
      <c r="AA781" s="43"/>
      <c r="AB781" s="43"/>
      <c r="AC781" s="43"/>
      <c r="AD781" s="43"/>
    </row>
    <row r="782">
      <c r="A782" s="43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4"/>
      <c r="P782" s="62"/>
      <c r="Q782" s="62"/>
      <c r="R782" s="62"/>
      <c r="S782" s="62"/>
      <c r="T782" s="62"/>
      <c r="U782" s="62"/>
      <c r="V782" s="62"/>
      <c r="W782" s="62"/>
      <c r="X782" s="62"/>
      <c r="Y782" s="43"/>
      <c r="Z782" s="43"/>
      <c r="AA782" s="43"/>
      <c r="AB782" s="43"/>
      <c r="AC782" s="43"/>
      <c r="AD782" s="43"/>
    </row>
    <row r="783">
      <c r="A783" s="43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4"/>
      <c r="P783" s="62"/>
      <c r="Q783" s="62"/>
      <c r="R783" s="62"/>
      <c r="S783" s="62"/>
      <c r="T783" s="62"/>
      <c r="U783" s="62"/>
      <c r="V783" s="62"/>
      <c r="W783" s="62"/>
      <c r="X783" s="62"/>
      <c r="Y783" s="43"/>
      <c r="Z783" s="43"/>
      <c r="AA783" s="43"/>
      <c r="AB783" s="43"/>
      <c r="AC783" s="43"/>
      <c r="AD783" s="43"/>
    </row>
    <row r="784">
      <c r="A784" s="43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4"/>
      <c r="P784" s="62"/>
      <c r="Q784" s="62"/>
      <c r="R784" s="62"/>
      <c r="S784" s="62"/>
      <c r="T784" s="62"/>
      <c r="U784" s="62"/>
      <c r="V784" s="62"/>
      <c r="W784" s="62"/>
      <c r="X784" s="62"/>
      <c r="Y784" s="43"/>
      <c r="Z784" s="43"/>
      <c r="AA784" s="43"/>
      <c r="AB784" s="43"/>
      <c r="AC784" s="43"/>
      <c r="AD784" s="43"/>
    </row>
    <row r="785">
      <c r="A785" s="43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4"/>
      <c r="P785" s="62"/>
      <c r="Q785" s="62"/>
      <c r="R785" s="62"/>
      <c r="S785" s="62"/>
      <c r="T785" s="62"/>
      <c r="U785" s="62"/>
      <c r="V785" s="62"/>
      <c r="W785" s="62"/>
      <c r="X785" s="62"/>
      <c r="Y785" s="43"/>
      <c r="Z785" s="43"/>
      <c r="AA785" s="43"/>
      <c r="AB785" s="43"/>
      <c r="AC785" s="43"/>
      <c r="AD785" s="43"/>
    </row>
    <row r="786">
      <c r="A786" s="43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4"/>
      <c r="P786" s="62"/>
      <c r="Q786" s="62"/>
      <c r="R786" s="62"/>
      <c r="S786" s="62"/>
      <c r="T786" s="62"/>
      <c r="U786" s="62"/>
      <c r="V786" s="62"/>
      <c r="W786" s="62"/>
      <c r="X786" s="62"/>
      <c r="Y786" s="43"/>
      <c r="Z786" s="43"/>
      <c r="AA786" s="43"/>
      <c r="AB786" s="43"/>
      <c r="AC786" s="43"/>
      <c r="AD786" s="43"/>
    </row>
    <row r="787">
      <c r="A787" s="43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4"/>
      <c r="P787" s="62"/>
      <c r="Q787" s="62"/>
      <c r="R787" s="62"/>
      <c r="S787" s="62"/>
      <c r="T787" s="62"/>
      <c r="U787" s="62"/>
      <c r="V787" s="62"/>
      <c r="W787" s="62"/>
      <c r="X787" s="62"/>
      <c r="Y787" s="43"/>
      <c r="Z787" s="43"/>
      <c r="AA787" s="43"/>
      <c r="AB787" s="43"/>
      <c r="AC787" s="43"/>
      <c r="AD787" s="43"/>
    </row>
    <row r="788">
      <c r="A788" s="43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4"/>
      <c r="P788" s="62"/>
      <c r="Q788" s="62"/>
      <c r="R788" s="62"/>
      <c r="S788" s="62"/>
      <c r="T788" s="62"/>
      <c r="U788" s="62"/>
      <c r="V788" s="62"/>
      <c r="W788" s="62"/>
      <c r="X788" s="62"/>
      <c r="Y788" s="43"/>
      <c r="Z788" s="43"/>
      <c r="AA788" s="43"/>
      <c r="AB788" s="43"/>
      <c r="AC788" s="43"/>
      <c r="AD788" s="43"/>
    </row>
    <row r="789">
      <c r="A789" s="43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4"/>
      <c r="P789" s="62"/>
      <c r="Q789" s="62"/>
      <c r="R789" s="62"/>
      <c r="S789" s="62"/>
      <c r="T789" s="62"/>
      <c r="U789" s="62"/>
      <c r="V789" s="62"/>
      <c r="W789" s="62"/>
      <c r="X789" s="62"/>
      <c r="Y789" s="43"/>
      <c r="Z789" s="43"/>
      <c r="AA789" s="43"/>
      <c r="AB789" s="43"/>
      <c r="AC789" s="43"/>
      <c r="AD789" s="43"/>
    </row>
    <row r="790">
      <c r="A790" s="43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4"/>
      <c r="P790" s="62"/>
      <c r="Q790" s="62"/>
      <c r="R790" s="62"/>
      <c r="S790" s="62"/>
      <c r="T790" s="62"/>
      <c r="U790" s="62"/>
      <c r="V790" s="62"/>
      <c r="W790" s="62"/>
      <c r="X790" s="62"/>
      <c r="Y790" s="43"/>
      <c r="Z790" s="43"/>
      <c r="AA790" s="43"/>
      <c r="AB790" s="43"/>
      <c r="AC790" s="43"/>
      <c r="AD790" s="43"/>
    </row>
    <row r="791">
      <c r="A791" s="43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4"/>
      <c r="P791" s="62"/>
      <c r="Q791" s="62"/>
      <c r="R791" s="62"/>
      <c r="S791" s="62"/>
      <c r="T791" s="62"/>
      <c r="U791" s="62"/>
      <c r="V791" s="62"/>
      <c r="W791" s="62"/>
      <c r="X791" s="62"/>
      <c r="Y791" s="43"/>
      <c r="Z791" s="43"/>
      <c r="AA791" s="43"/>
      <c r="AB791" s="43"/>
      <c r="AC791" s="43"/>
      <c r="AD791" s="43"/>
    </row>
    <row r="792">
      <c r="A792" s="43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4"/>
      <c r="P792" s="62"/>
      <c r="Q792" s="62"/>
      <c r="R792" s="62"/>
      <c r="S792" s="62"/>
      <c r="T792" s="62"/>
      <c r="U792" s="62"/>
      <c r="V792" s="62"/>
      <c r="W792" s="62"/>
      <c r="X792" s="62"/>
      <c r="Y792" s="43"/>
      <c r="Z792" s="43"/>
      <c r="AA792" s="43"/>
      <c r="AB792" s="43"/>
      <c r="AC792" s="43"/>
      <c r="AD792" s="43"/>
    </row>
    <row r="793">
      <c r="A793" s="43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4"/>
      <c r="P793" s="62"/>
      <c r="Q793" s="62"/>
      <c r="R793" s="62"/>
      <c r="S793" s="62"/>
      <c r="T793" s="62"/>
      <c r="U793" s="62"/>
      <c r="V793" s="62"/>
      <c r="W793" s="62"/>
      <c r="X793" s="62"/>
      <c r="Y793" s="43"/>
      <c r="Z793" s="43"/>
      <c r="AA793" s="43"/>
      <c r="AB793" s="43"/>
      <c r="AC793" s="43"/>
      <c r="AD793" s="43"/>
    </row>
    <row r="794">
      <c r="A794" s="43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4"/>
      <c r="P794" s="62"/>
      <c r="Q794" s="62"/>
      <c r="R794" s="62"/>
      <c r="S794" s="62"/>
      <c r="T794" s="62"/>
      <c r="U794" s="62"/>
      <c r="V794" s="62"/>
      <c r="W794" s="62"/>
      <c r="X794" s="62"/>
      <c r="Y794" s="43"/>
      <c r="Z794" s="43"/>
      <c r="AA794" s="43"/>
      <c r="AB794" s="43"/>
      <c r="AC794" s="43"/>
      <c r="AD794" s="43"/>
    </row>
    <row r="795">
      <c r="A795" s="43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4"/>
      <c r="P795" s="62"/>
      <c r="Q795" s="62"/>
      <c r="R795" s="62"/>
      <c r="S795" s="62"/>
      <c r="T795" s="62"/>
      <c r="U795" s="62"/>
      <c r="V795" s="62"/>
      <c r="W795" s="62"/>
      <c r="X795" s="62"/>
      <c r="Y795" s="43"/>
      <c r="Z795" s="43"/>
      <c r="AA795" s="43"/>
      <c r="AB795" s="43"/>
      <c r="AC795" s="43"/>
      <c r="AD795" s="43"/>
    </row>
    <row r="796">
      <c r="A796" s="43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4"/>
      <c r="P796" s="62"/>
      <c r="Q796" s="62"/>
      <c r="R796" s="62"/>
      <c r="S796" s="62"/>
      <c r="T796" s="62"/>
      <c r="U796" s="62"/>
      <c r="V796" s="62"/>
      <c r="W796" s="62"/>
      <c r="X796" s="62"/>
      <c r="Y796" s="43"/>
      <c r="Z796" s="43"/>
      <c r="AA796" s="43"/>
      <c r="AB796" s="43"/>
      <c r="AC796" s="43"/>
      <c r="AD796" s="43"/>
    </row>
    <row r="797">
      <c r="A797" s="43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4"/>
      <c r="P797" s="62"/>
      <c r="Q797" s="62"/>
      <c r="R797" s="62"/>
      <c r="S797" s="62"/>
      <c r="T797" s="62"/>
      <c r="U797" s="62"/>
      <c r="V797" s="62"/>
      <c r="W797" s="62"/>
      <c r="X797" s="62"/>
      <c r="Y797" s="43"/>
      <c r="Z797" s="43"/>
      <c r="AA797" s="43"/>
      <c r="AB797" s="43"/>
      <c r="AC797" s="43"/>
      <c r="AD797" s="43"/>
    </row>
    <row r="798">
      <c r="A798" s="43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4"/>
      <c r="P798" s="62"/>
      <c r="Q798" s="62"/>
      <c r="R798" s="62"/>
      <c r="S798" s="62"/>
      <c r="T798" s="62"/>
      <c r="U798" s="62"/>
      <c r="V798" s="62"/>
      <c r="W798" s="62"/>
      <c r="X798" s="62"/>
      <c r="Y798" s="43"/>
      <c r="Z798" s="43"/>
      <c r="AA798" s="43"/>
      <c r="AB798" s="43"/>
      <c r="AC798" s="43"/>
      <c r="AD798" s="43"/>
    </row>
    <row r="799">
      <c r="A799" s="43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4"/>
      <c r="P799" s="62"/>
      <c r="Q799" s="62"/>
      <c r="R799" s="62"/>
      <c r="S799" s="62"/>
      <c r="T799" s="62"/>
      <c r="U799" s="62"/>
      <c r="V799" s="62"/>
      <c r="W799" s="62"/>
      <c r="X799" s="62"/>
      <c r="Y799" s="43"/>
      <c r="Z799" s="43"/>
      <c r="AA799" s="43"/>
      <c r="AB799" s="43"/>
      <c r="AC799" s="43"/>
      <c r="AD799" s="43"/>
    </row>
    <row r="800">
      <c r="A800" s="43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4"/>
      <c r="P800" s="62"/>
      <c r="Q800" s="62"/>
      <c r="R800" s="62"/>
      <c r="S800" s="62"/>
      <c r="T800" s="62"/>
      <c r="U800" s="62"/>
      <c r="V800" s="62"/>
      <c r="W800" s="62"/>
      <c r="X800" s="62"/>
      <c r="Y800" s="43"/>
      <c r="Z800" s="43"/>
      <c r="AA800" s="43"/>
      <c r="AB800" s="43"/>
      <c r="AC800" s="43"/>
      <c r="AD800" s="43"/>
    </row>
    <row r="801">
      <c r="A801" s="43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4"/>
      <c r="P801" s="62"/>
      <c r="Q801" s="62"/>
      <c r="R801" s="62"/>
      <c r="S801" s="62"/>
      <c r="T801" s="62"/>
      <c r="U801" s="62"/>
      <c r="V801" s="62"/>
      <c r="W801" s="62"/>
      <c r="X801" s="62"/>
      <c r="Y801" s="43"/>
      <c r="Z801" s="43"/>
      <c r="AA801" s="43"/>
      <c r="AB801" s="43"/>
      <c r="AC801" s="43"/>
      <c r="AD801" s="43"/>
    </row>
    <row r="802">
      <c r="A802" s="43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4"/>
      <c r="P802" s="62"/>
      <c r="Q802" s="62"/>
      <c r="R802" s="62"/>
      <c r="S802" s="62"/>
      <c r="T802" s="62"/>
      <c r="U802" s="62"/>
      <c r="V802" s="62"/>
      <c r="W802" s="62"/>
      <c r="X802" s="62"/>
      <c r="Y802" s="43"/>
      <c r="Z802" s="43"/>
      <c r="AA802" s="43"/>
      <c r="AB802" s="43"/>
      <c r="AC802" s="43"/>
      <c r="AD802" s="43"/>
    </row>
    <row r="803">
      <c r="A803" s="43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4"/>
      <c r="P803" s="62"/>
      <c r="Q803" s="62"/>
      <c r="R803" s="62"/>
      <c r="S803" s="62"/>
      <c r="T803" s="62"/>
      <c r="U803" s="62"/>
      <c r="V803" s="62"/>
      <c r="W803" s="62"/>
      <c r="X803" s="62"/>
      <c r="Y803" s="43"/>
      <c r="Z803" s="43"/>
      <c r="AA803" s="43"/>
      <c r="AB803" s="43"/>
      <c r="AC803" s="43"/>
      <c r="AD803" s="43"/>
    </row>
    <row r="804">
      <c r="A804" s="43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4"/>
      <c r="P804" s="62"/>
      <c r="Q804" s="62"/>
      <c r="R804" s="62"/>
      <c r="S804" s="62"/>
      <c r="T804" s="62"/>
      <c r="U804" s="62"/>
      <c r="V804" s="62"/>
      <c r="W804" s="62"/>
      <c r="X804" s="62"/>
      <c r="Y804" s="43"/>
      <c r="Z804" s="43"/>
      <c r="AA804" s="43"/>
      <c r="AB804" s="43"/>
      <c r="AC804" s="43"/>
      <c r="AD804" s="43"/>
    </row>
    <row r="805">
      <c r="A805" s="43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4"/>
      <c r="P805" s="62"/>
      <c r="Q805" s="62"/>
      <c r="R805" s="62"/>
      <c r="S805" s="62"/>
      <c r="T805" s="62"/>
      <c r="U805" s="62"/>
      <c r="V805" s="62"/>
      <c r="W805" s="62"/>
      <c r="X805" s="62"/>
      <c r="Y805" s="43"/>
      <c r="Z805" s="43"/>
      <c r="AA805" s="43"/>
      <c r="AB805" s="43"/>
      <c r="AC805" s="43"/>
      <c r="AD805" s="43"/>
    </row>
    <row r="806">
      <c r="A806" s="43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4"/>
      <c r="P806" s="62"/>
      <c r="Q806" s="62"/>
      <c r="R806" s="62"/>
      <c r="S806" s="62"/>
      <c r="T806" s="62"/>
      <c r="U806" s="62"/>
      <c r="V806" s="62"/>
      <c r="W806" s="62"/>
      <c r="X806" s="62"/>
      <c r="Y806" s="43"/>
      <c r="Z806" s="43"/>
      <c r="AA806" s="43"/>
      <c r="AB806" s="43"/>
      <c r="AC806" s="43"/>
      <c r="AD806" s="43"/>
    </row>
    <row r="807">
      <c r="A807" s="43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4"/>
      <c r="P807" s="62"/>
      <c r="Q807" s="62"/>
      <c r="R807" s="62"/>
      <c r="S807" s="62"/>
      <c r="T807" s="62"/>
      <c r="U807" s="62"/>
      <c r="V807" s="62"/>
      <c r="W807" s="62"/>
      <c r="X807" s="62"/>
      <c r="Y807" s="43"/>
      <c r="Z807" s="43"/>
      <c r="AA807" s="43"/>
      <c r="AB807" s="43"/>
      <c r="AC807" s="43"/>
      <c r="AD807" s="43"/>
    </row>
    <row r="808">
      <c r="A808" s="43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4"/>
      <c r="P808" s="62"/>
      <c r="Q808" s="62"/>
      <c r="R808" s="62"/>
      <c r="S808" s="62"/>
      <c r="T808" s="62"/>
      <c r="U808" s="62"/>
      <c r="V808" s="62"/>
      <c r="W808" s="62"/>
      <c r="X808" s="62"/>
      <c r="Y808" s="43"/>
      <c r="Z808" s="43"/>
      <c r="AA808" s="43"/>
      <c r="AB808" s="43"/>
      <c r="AC808" s="43"/>
      <c r="AD808" s="43"/>
    </row>
    <row r="809">
      <c r="A809" s="43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4"/>
      <c r="P809" s="62"/>
      <c r="Q809" s="62"/>
      <c r="R809" s="62"/>
      <c r="S809" s="62"/>
      <c r="T809" s="62"/>
      <c r="U809" s="62"/>
      <c r="V809" s="62"/>
      <c r="W809" s="62"/>
      <c r="X809" s="62"/>
      <c r="Y809" s="43"/>
      <c r="Z809" s="43"/>
      <c r="AA809" s="43"/>
      <c r="AB809" s="43"/>
      <c r="AC809" s="43"/>
      <c r="AD809" s="43"/>
    </row>
    <row r="810">
      <c r="A810" s="43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4"/>
      <c r="P810" s="62"/>
      <c r="Q810" s="62"/>
      <c r="R810" s="62"/>
      <c r="S810" s="62"/>
      <c r="T810" s="62"/>
      <c r="U810" s="62"/>
      <c r="V810" s="62"/>
      <c r="W810" s="62"/>
      <c r="X810" s="62"/>
      <c r="Y810" s="43"/>
      <c r="Z810" s="43"/>
      <c r="AA810" s="43"/>
      <c r="AB810" s="43"/>
      <c r="AC810" s="43"/>
      <c r="AD810" s="43"/>
    </row>
    <row r="811">
      <c r="A811" s="43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4"/>
      <c r="P811" s="62"/>
      <c r="Q811" s="62"/>
      <c r="R811" s="62"/>
      <c r="S811" s="62"/>
      <c r="T811" s="62"/>
      <c r="U811" s="62"/>
      <c r="V811" s="62"/>
      <c r="W811" s="62"/>
      <c r="X811" s="62"/>
      <c r="Y811" s="43"/>
      <c r="Z811" s="43"/>
      <c r="AA811" s="43"/>
      <c r="AB811" s="43"/>
      <c r="AC811" s="43"/>
      <c r="AD811" s="43"/>
    </row>
    <row r="812">
      <c r="A812" s="43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4"/>
      <c r="P812" s="62"/>
      <c r="Q812" s="62"/>
      <c r="R812" s="62"/>
      <c r="S812" s="62"/>
      <c r="T812" s="62"/>
      <c r="U812" s="62"/>
      <c r="V812" s="62"/>
      <c r="W812" s="62"/>
      <c r="X812" s="62"/>
      <c r="Y812" s="43"/>
      <c r="Z812" s="43"/>
      <c r="AA812" s="43"/>
      <c r="AB812" s="43"/>
      <c r="AC812" s="43"/>
      <c r="AD812" s="43"/>
    </row>
    <row r="813">
      <c r="A813" s="43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4"/>
      <c r="P813" s="62"/>
      <c r="Q813" s="62"/>
      <c r="R813" s="62"/>
      <c r="S813" s="62"/>
      <c r="T813" s="62"/>
      <c r="U813" s="62"/>
      <c r="V813" s="62"/>
      <c r="W813" s="62"/>
      <c r="X813" s="62"/>
      <c r="Y813" s="43"/>
      <c r="Z813" s="43"/>
      <c r="AA813" s="43"/>
      <c r="AB813" s="43"/>
      <c r="AC813" s="43"/>
      <c r="AD813" s="43"/>
    </row>
    <row r="814">
      <c r="A814" s="43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4"/>
      <c r="P814" s="62"/>
      <c r="Q814" s="62"/>
      <c r="R814" s="62"/>
      <c r="S814" s="62"/>
      <c r="T814" s="62"/>
      <c r="U814" s="62"/>
      <c r="V814" s="62"/>
      <c r="W814" s="62"/>
      <c r="X814" s="62"/>
      <c r="Y814" s="43"/>
      <c r="Z814" s="43"/>
      <c r="AA814" s="43"/>
      <c r="AB814" s="43"/>
      <c r="AC814" s="43"/>
      <c r="AD814" s="43"/>
    </row>
    <row r="815">
      <c r="A815" s="43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4"/>
      <c r="P815" s="62"/>
      <c r="Q815" s="62"/>
      <c r="R815" s="62"/>
      <c r="S815" s="62"/>
      <c r="T815" s="62"/>
      <c r="U815" s="62"/>
      <c r="V815" s="62"/>
      <c r="W815" s="62"/>
      <c r="X815" s="62"/>
      <c r="Y815" s="43"/>
      <c r="Z815" s="43"/>
      <c r="AA815" s="43"/>
      <c r="AB815" s="43"/>
      <c r="AC815" s="43"/>
      <c r="AD815" s="43"/>
    </row>
    <row r="816">
      <c r="A816" s="43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4"/>
      <c r="P816" s="62"/>
      <c r="Q816" s="62"/>
      <c r="R816" s="62"/>
      <c r="S816" s="62"/>
      <c r="T816" s="62"/>
      <c r="U816" s="62"/>
      <c r="V816" s="62"/>
      <c r="W816" s="62"/>
      <c r="X816" s="62"/>
      <c r="Y816" s="43"/>
      <c r="Z816" s="43"/>
      <c r="AA816" s="43"/>
      <c r="AB816" s="43"/>
      <c r="AC816" s="43"/>
      <c r="AD816" s="43"/>
    </row>
    <row r="817">
      <c r="A817" s="43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4"/>
      <c r="P817" s="62"/>
      <c r="Q817" s="62"/>
      <c r="R817" s="62"/>
      <c r="S817" s="62"/>
      <c r="T817" s="62"/>
      <c r="U817" s="62"/>
      <c r="V817" s="62"/>
      <c r="W817" s="62"/>
      <c r="X817" s="62"/>
      <c r="Y817" s="43"/>
      <c r="Z817" s="43"/>
      <c r="AA817" s="43"/>
      <c r="AB817" s="43"/>
      <c r="AC817" s="43"/>
      <c r="AD817" s="43"/>
    </row>
    <row r="818">
      <c r="A818" s="43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4"/>
      <c r="P818" s="62"/>
      <c r="Q818" s="62"/>
      <c r="R818" s="62"/>
      <c r="S818" s="62"/>
      <c r="T818" s="62"/>
      <c r="U818" s="62"/>
      <c r="V818" s="62"/>
      <c r="W818" s="62"/>
      <c r="X818" s="62"/>
      <c r="Y818" s="43"/>
      <c r="Z818" s="43"/>
      <c r="AA818" s="43"/>
      <c r="AB818" s="43"/>
      <c r="AC818" s="43"/>
      <c r="AD818" s="43"/>
    </row>
    <row r="819">
      <c r="A819" s="43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4"/>
      <c r="P819" s="62"/>
      <c r="Q819" s="62"/>
      <c r="R819" s="62"/>
      <c r="S819" s="62"/>
      <c r="T819" s="62"/>
      <c r="U819" s="62"/>
      <c r="V819" s="62"/>
      <c r="W819" s="62"/>
      <c r="X819" s="62"/>
      <c r="Y819" s="43"/>
      <c r="Z819" s="43"/>
      <c r="AA819" s="43"/>
      <c r="AB819" s="43"/>
      <c r="AC819" s="43"/>
      <c r="AD819" s="43"/>
    </row>
    <row r="820">
      <c r="A820" s="43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4"/>
      <c r="P820" s="62"/>
      <c r="Q820" s="62"/>
      <c r="R820" s="62"/>
      <c r="S820" s="62"/>
      <c r="T820" s="62"/>
      <c r="U820" s="62"/>
      <c r="V820" s="62"/>
      <c r="W820" s="62"/>
      <c r="X820" s="62"/>
      <c r="Y820" s="43"/>
      <c r="Z820" s="43"/>
      <c r="AA820" s="43"/>
      <c r="AB820" s="43"/>
      <c r="AC820" s="43"/>
      <c r="AD820" s="43"/>
    </row>
    <row r="821">
      <c r="A821" s="43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4"/>
      <c r="P821" s="62"/>
      <c r="Q821" s="62"/>
      <c r="R821" s="62"/>
      <c r="S821" s="62"/>
      <c r="T821" s="62"/>
      <c r="U821" s="62"/>
      <c r="V821" s="62"/>
      <c r="W821" s="62"/>
      <c r="X821" s="62"/>
      <c r="Y821" s="43"/>
      <c r="Z821" s="43"/>
      <c r="AA821" s="43"/>
      <c r="AB821" s="43"/>
      <c r="AC821" s="43"/>
      <c r="AD821" s="43"/>
    </row>
    <row r="822">
      <c r="A822" s="43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4"/>
      <c r="P822" s="62"/>
      <c r="Q822" s="62"/>
      <c r="R822" s="62"/>
      <c r="S822" s="62"/>
      <c r="T822" s="62"/>
      <c r="U822" s="62"/>
      <c r="V822" s="62"/>
      <c r="W822" s="62"/>
      <c r="X822" s="62"/>
      <c r="Y822" s="43"/>
      <c r="Z822" s="43"/>
      <c r="AA822" s="43"/>
      <c r="AB822" s="43"/>
      <c r="AC822" s="43"/>
      <c r="AD822" s="43"/>
    </row>
    <row r="823">
      <c r="A823" s="43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4"/>
      <c r="P823" s="62"/>
      <c r="Q823" s="62"/>
      <c r="R823" s="62"/>
      <c r="S823" s="62"/>
      <c r="T823" s="62"/>
      <c r="U823" s="62"/>
      <c r="V823" s="62"/>
      <c r="W823" s="62"/>
      <c r="X823" s="62"/>
      <c r="Y823" s="43"/>
      <c r="Z823" s="43"/>
      <c r="AA823" s="43"/>
      <c r="AB823" s="43"/>
      <c r="AC823" s="43"/>
      <c r="AD823" s="43"/>
    </row>
    <row r="824">
      <c r="A824" s="43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4"/>
      <c r="P824" s="62"/>
      <c r="Q824" s="62"/>
      <c r="R824" s="62"/>
      <c r="S824" s="62"/>
      <c r="T824" s="62"/>
      <c r="U824" s="62"/>
      <c r="V824" s="62"/>
      <c r="W824" s="62"/>
      <c r="X824" s="62"/>
      <c r="Y824" s="43"/>
      <c r="Z824" s="43"/>
      <c r="AA824" s="43"/>
      <c r="AB824" s="43"/>
      <c r="AC824" s="43"/>
      <c r="AD824" s="43"/>
    </row>
    <row r="825">
      <c r="A825" s="43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4"/>
      <c r="P825" s="62"/>
      <c r="Q825" s="62"/>
      <c r="R825" s="62"/>
      <c r="S825" s="62"/>
      <c r="T825" s="62"/>
      <c r="U825" s="62"/>
      <c r="V825" s="62"/>
      <c r="W825" s="62"/>
      <c r="X825" s="62"/>
      <c r="Y825" s="43"/>
      <c r="Z825" s="43"/>
      <c r="AA825" s="43"/>
      <c r="AB825" s="43"/>
      <c r="AC825" s="43"/>
      <c r="AD825" s="43"/>
    </row>
    <row r="826">
      <c r="A826" s="43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4"/>
      <c r="P826" s="62"/>
      <c r="Q826" s="62"/>
      <c r="R826" s="62"/>
      <c r="S826" s="62"/>
      <c r="T826" s="62"/>
      <c r="U826" s="62"/>
      <c r="V826" s="62"/>
      <c r="W826" s="62"/>
      <c r="X826" s="62"/>
      <c r="Y826" s="43"/>
      <c r="Z826" s="43"/>
      <c r="AA826" s="43"/>
      <c r="AB826" s="43"/>
      <c r="AC826" s="43"/>
      <c r="AD826" s="43"/>
    </row>
    <row r="827">
      <c r="A827" s="43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4"/>
      <c r="P827" s="62"/>
      <c r="Q827" s="62"/>
      <c r="R827" s="62"/>
      <c r="S827" s="62"/>
      <c r="T827" s="62"/>
      <c r="U827" s="62"/>
      <c r="V827" s="62"/>
      <c r="W827" s="62"/>
      <c r="X827" s="62"/>
      <c r="Y827" s="43"/>
      <c r="Z827" s="43"/>
      <c r="AA827" s="43"/>
      <c r="AB827" s="43"/>
      <c r="AC827" s="43"/>
      <c r="AD827" s="43"/>
    </row>
    <row r="828">
      <c r="A828" s="43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4"/>
      <c r="P828" s="62"/>
      <c r="Q828" s="62"/>
      <c r="R828" s="62"/>
      <c r="S828" s="62"/>
      <c r="T828" s="62"/>
      <c r="U828" s="62"/>
      <c r="V828" s="62"/>
      <c r="W828" s="62"/>
      <c r="X828" s="62"/>
      <c r="Y828" s="43"/>
      <c r="Z828" s="43"/>
      <c r="AA828" s="43"/>
      <c r="AB828" s="43"/>
      <c r="AC828" s="43"/>
      <c r="AD828" s="43"/>
    </row>
    <row r="829">
      <c r="A829" s="43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4"/>
      <c r="P829" s="62"/>
      <c r="Q829" s="62"/>
      <c r="R829" s="62"/>
      <c r="S829" s="62"/>
      <c r="T829" s="62"/>
      <c r="U829" s="62"/>
      <c r="V829" s="62"/>
      <c r="W829" s="62"/>
      <c r="X829" s="62"/>
      <c r="Y829" s="43"/>
      <c r="Z829" s="43"/>
      <c r="AA829" s="43"/>
      <c r="AB829" s="43"/>
      <c r="AC829" s="43"/>
      <c r="AD829" s="43"/>
    </row>
    <row r="830">
      <c r="A830" s="43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4"/>
      <c r="P830" s="62"/>
      <c r="Q830" s="62"/>
      <c r="R830" s="62"/>
      <c r="S830" s="62"/>
      <c r="T830" s="62"/>
      <c r="U830" s="62"/>
      <c r="V830" s="62"/>
      <c r="W830" s="62"/>
      <c r="X830" s="62"/>
      <c r="Y830" s="43"/>
      <c r="Z830" s="43"/>
      <c r="AA830" s="43"/>
      <c r="AB830" s="43"/>
      <c r="AC830" s="43"/>
      <c r="AD830" s="43"/>
    </row>
    <row r="831">
      <c r="A831" s="43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4"/>
      <c r="P831" s="62"/>
      <c r="Q831" s="62"/>
      <c r="R831" s="62"/>
      <c r="S831" s="62"/>
      <c r="T831" s="62"/>
      <c r="U831" s="62"/>
      <c r="V831" s="62"/>
      <c r="W831" s="62"/>
      <c r="X831" s="62"/>
      <c r="Y831" s="43"/>
      <c r="Z831" s="43"/>
      <c r="AA831" s="43"/>
      <c r="AB831" s="43"/>
      <c r="AC831" s="43"/>
      <c r="AD831" s="43"/>
    </row>
    <row r="832">
      <c r="A832" s="43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4"/>
      <c r="P832" s="62"/>
      <c r="Q832" s="62"/>
      <c r="R832" s="62"/>
      <c r="S832" s="62"/>
      <c r="T832" s="62"/>
      <c r="U832" s="62"/>
      <c r="V832" s="62"/>
      <c r="W832" s="62"/>
      <c r="X832" s="62"/>
      <c r="Y832" s="43"/>
      <c r="Z832" s="43"/>
      <c r="AA832" s="43"/>
      <c r="AB832" s="43"/>
      <c r="AC832" s="43"/>
      <c r="AD832" s="43"/>
    </row>
    <row r="833">
      <c r="A833" s="43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4"/>
      <c r="P833" s="62"/>
      <c r="Q833" s="62"/>
      <c r="R833" s="62"/>
      <c r="S833" s="62"/>
      <c r="T833" s="62"/>
      <c r="U833" s="62"/>
      <c r="V833" s="62"/>
      <c r="W833" s="62"/>
      <c r="X833" s="62"/>
      <c r="Y833" s="43"/>
      <c r="Z833" s="43"/>
      <c r="AA833" s="43"/>
      <c r="AB833" s="43"/>
      <c r="AC833" s="43"/>
      <c r="AD833" s="43"/>
    </row>
    <row r="834">
      <c r="A834" s="43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4"/>
      <c r="P834" s="62"/>
      <c r="Q834" s="62"/>
      <c r="R834" s="62"/>
      <c r="S834" s="62"/>
      <c r="T834" s="62"/>
      <c r="U834" s="62"/>
      <c r="V834" s="62"/>
      <c r="W834" s="62"/>
      <c r="X834" s="62"/>
      <c r="Y834" s="43"/>
      <c r="Z834" s="43"/>
      <c r="AA834" s="43"/>
      <c r="AB834" s="43"/>
      <c r="AC834" s="43"/>
      <c r="AD834" s="43"/>
    </row>
    <row r="835">
      <c r="A835" s="43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4"/>
      <c r="P835" s="62"/>
      <c r="Q835" s="62"/>
      <c r="R835" s="62"/>
      <c r="S835" s="62"/>
      <c r="T835" s="62"/>
      <c r="U835" s="62"/>
      <c r="V835" s="62"/>
      <c r="W835" s="62"/>
      <c r="X835" s="62"/>
      <c r="Y835" s="43"/>
      <c r="Z835" s="43"/>
      <c r="AA835" s="43"/>
      <c r="AB835" s="43"/>
      <c r="AC835" s="43"/>
      <c r="AD835" s="43"/>
    </row>
    <row r="836">
      <c r="A836" s="43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4"/>
      <c r="P836" s="62"/>
      <c r="Q836" s="62"/>
      <c r="R836" s="62"/>
      <c r="S836" s="62"/>
      <c r="T836" s="62"/>
      <c r="U836" s="62"/>
      <c r="V836" s="62"/>
      <c r="W836" s="62"/>
      <c r="X836" s="62"/>
      <c r="Y836" s="43"/>
      <c r="Z836" s="43"/>
      <c r="AA836" s="43"/>
      <c r="AB836" s="43"/>
      <c r="AC836" s="43"/>
      <c r="AD836" s="43"/>
    </row>
    <row r="837">
      <c r="A837" s="43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4"/>
      <c r="P837" s="62"/>
      <c r="Q837" s="62"/>
      <c r="R837" s="62"/>
      <c r="S837" s="62"/>
      <c r="T837" s="62"/>
      <c r="U837" s="62"/>
      <c r="V837" s="62"/>
      <c r="W837" s="62"/>
      <c r="X837" s="62"/>
      <c r="Y837" s="43"/>
      <c r="Z837" s="43"/>
      <c r="AA837" s="43"/>
      <c r="AB837" s="43"/>
      <c r="AC837" s="43"/>
      <c r="AD837" s="43"/>
    </row>
    <row r="838">
      <c r="A838" s="43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4"/>
      <c r="P838" s="62"/>
      <c r="Q838" s="62"/>
      <c r="R838" s="62"/>
      <c r="S838" s="62"/>
      <c r="T838" s="62"/>
      <c r="U838" s="62"/>
      <c r="V838" s="62"/>
      <c r="W838" s="62"/>
      <c r="X838" s="62"/>
      <c r="Y838" s="43"/>
      <c r="Z838" s="43"/>
      <c r="AA838" s="43"/>
      <c r="AB838" s="43"/>
      <c r="AC838" s="43"/>
      <c r="AD838" s="43"/>
    </row>
    <row r="839">
      <c r="A839" s="43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4"/>
      <c r="P839" s="62"/>
      <c r="Q839" s="62"/>
      <c r="R839" s="62"/>
      <c r="S839" s="62"/>
      <c r="T839" s="62"/>
      <c r="U839" s="62"/>
      <c r="V839" s="62"/>
      <c r="W839" s="62"/>
      <c r="X839" s="62"/>
      <c r="Y839" s="43"/>
      <c r="Z839" s="43"/>
      <c r="AA839" s="43"/>
      <c r="AB839" s="43"/>
      <c r="AC839" s="43"/>
      <c r="AD839" s="43"/>
    </row>
    <row r="840">
      <c r="A840" s="43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4"/>
      <c r="P840" s="62"/>
      <c r="Q840" s="62"/>
      <c r="R840" s="62"/>
      <c r="S840" s="62"/>
      <c r="T840" s="62"/>
      <c r="U840" s="62"/>
      <c r="V840" s="62"/>
      <c r="W840" s="62"/>
      <c r="X840" s="62"/>
      <c r="Y840" s="43"/>
      <c r="Z840" s="43"/>
      <c r="AA840" s="43"/>
      <c r="AB840" s="43"/>
      <c r="AC840" s="43"/>
      <c r="AD840" s="43"/>
    </row>
    <row r="841">
      <c r="A841" s="43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4"/>
      <c r="P841" s="62"/>
      <c r="Q841" s="62"/>
      <c r="R841" s="62"/>
      <c r="S841" s="62"/>
      <c r="T841" s="62"/>
      <c r="U841" s="62"/>
      <c r="V841" s="62"/>
      <c r="W841" s="62"/>
      <c r="X841" s="62"/>
      <c r="Y841" s="43"/>
      <c r="Z841" s="43"/>
      <c r="AA841" s="43"/>
      <c r="AB841" s="43"/>
      <c r="AC841" s="43"/>
      <c r="AD841" s="43"/>
    </row>
    <row r="842">
      <c r="A842" s="43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4"/>
      <c r="P842" s="62"/>
      <c r="Q842" s="62"/>
      <c r="R842" s="62"/>
      <c r="S842" s="62"/>
      <c r="T842" s="62"/>
      <c r="U842" s="62"/>
      <c r="V842" s="62"/>
      <c r="W842" s="62"/>
      <c r="X842" s="62"/>
      <c r="Y842" s="43"/>
      <c r="Z842" s="43"/>
      <c r="AA842" s="43"/>
      <c r="AB842" s="43"/>
      <c r="AC842" s="43"/>
      <c r="AD842" s="43"/>
    </row>
    <row r="843">
      <c r="A843" s="43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4"/>
      <c r="P843" s="62"/>
      <c r="Q843" s="62"/>
      <c r="R843" s="62"/>
      <c r="S843" s="62"/>
      <c r="T843" s="62"/>
      <c r="U843" s="62"/>
      <c r="V843" s="62"/>
      <c r="W843" s="62"/>
      <c r="X843" s="62"/>
      <c r="Y843" s="43"/>
      <c r="Z843" s="43"/>
      <c r="AA843" s="43"/>
      <c r="AB843" s="43"/>
      <c r="AC843" s="43"/>
      <c r="AD843" s="43"/>
    </row>
    <row r="844">
      <c r="A844" s="43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4"/>
      <c r="P844" s="62"/>
      <c r="Q844" s="62"/>
      <c r="R844" s="62"/>
      <c r="S844" s="62"/>
      <c r="T844" s="62"/>
      <c r="U844" s="62"/>
      <c r="V844" s="62"/>
      <c r="W844" s="62"/>
      <c r="X844" s="62"/>
      <c r="Y844" s="43"/>
      <c r="Z844" s="43"/>
      <c r="AA844" s="43"/>
      <c r="AB844" s="43"/>
      <c r="AC844" s="43"/>
      <c r="AD844" s="43"/>
    </row>
    <row r="845">
      <c r="A845" s="43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4"/>
      <c r="P845" s="62"/>
      <c r="Q845" s="62"/>
      <c r="R845" s="62"/>
      <c r="S845" s="62"/>
      <c r="T845" s="62"/>
      <c r="U845" s="62"/>
      <c r="V845" s="62"/>
      <c r="W845" s="62"/>
      <c r="X845" s="62"/>
      <c r="Y845" s="43"/>
      <c r="Z845" s="43"/>
      <c r="AA845" s="43"/>
      <c r="AB845" s="43"/>
      <c r="AC845" s="43"/>
      <c r="AD845" s="43"/>
    </row>
    <row r="846">
      <c r="A846" s="43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4"/>
      <c r="P846" s="62"/>
      <c r="Q846" s="62"/>
      <c r="R846" s="62"/>
      <c r="S846" s="62"/>
      <c r="T846" s="62"/>
      <c r="U846" s="62"/>
      <c r="V846" s="62"/>
      <c r="W846" s="62"/>
      <c r="X846" s="62"/>
      <c r="Y846" s="43"/>
      <c r="Z846" s="43"/>
      <c r="AA846" s="43"/>
      <c r="AB846" s="43"/>
      <c r="AC846" s="43"/>
      <c r="AD846" s="43"/>
    </row>
    <row r="847">
      <c r="A847" s="43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4"/>
      <c r="P847" s="62"/>
      <c r="Q847" s="62"/>
      <c r="R847" s="62"/>
      <c r="S847" s="62"/>
      <c r="T847" s="62"/>
      <c r="U847" s="62"/>
      <c r="V847" s="62"/>
      <c r="W847" s="62"/>
      <c r="X847" s="62"/>
      <c r="Y847" s="43"/>
      <c r="Z847" s="43"/>
      <c r="AA847" s="43"/>
      <c r="AB847" s="43"/>
      <c r="AC847" s="43"/>
      <c r="AD847" s="43"/>
    </row>
    <row r="848">
      <c r="A848" s="43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4"/>
      <c r="P848" s="62"/>
      <c r="Q848" s="62"/>
      <c r="R848" s="62"/>
      <c r="S848" s="62"/>
      <c r="T848" s="62"/>
      <c r="U848" s="62"/>
      <c r="V848" s="62"/>
      <c r="W848" s="62"/>
      <c r="X848" s="62"/>
      <c r="Y848" s="43"/>
      <c r="Z848" s="43"/>
      <c r="AA848" s="43"/>
      <c r="AB848" s="43"/>
      <c r="AC848" s="43"/>
      <c r="AD848" s="43"/>
    </row>
    <row r="849">
      <c r="A849" s="43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4"/>
      <c r="P849" s="62"/>
      <c r="Q849" s="62"/>
      <c r="R849" s="62"/>
      <c r="S849" s="62"/>
      <c r="T849" s="62"/>
      <c r="U849" s="62"/>
      <c r="V849" s="62"/>
      <c r="W849" s="62"/>
      <c r="X849" s="62"/>
      <c r="Y849" s="43"/>
      <c r="Z849" s="43"/>
      <c r="AA849" s="43"/>
      <c r="AB849" s="43"/>
      <c r="AC849" s="43"/>
      <c r="AD849" s="43"/>
    </row>
    <row r="850">
      <c r="A850" s="43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4"/>
      <c r="P850" s="62"/>
      <c r="Q850" s="62"/>
      <c r="R850" s="62"/>
      <c r="S850" s="62"/>
      <c r="T850" s="62"/>
      <c r="U850" s="62"/>
      <c r="V850" s="62"/>
      <c r="W850" s="62"/>
      <c r="X850" s="62"/>
      <c r="Y850" s="43"/>
      <c r="Z850" s="43"/>
      <c r="AA850" s="43"/>
      <c r="AB850" s="43"/>
      <c r="AC850" s="43"/>
      <c r="AD850" s="43"/>
    </row>
    <row r="851">
      <c r="A851" s="43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4"/>
      <c r="P851" s="62"/>
      <c r="Q851" s="62"/>
      <c r="R851" s="62"/>
      <c r="S851" s="62"/>
      <c r="T851" s="62"/>
      <c r="U851" s="62"/>
      <c r="V851" s="62"/>
      <c r="W851" s="62"/>
      <c r="X851" s="62"/>
      <c r="Y851" s="43"/>
      <c r="Z851" s="43"/>
      <c r="AA851" s="43"/>
      <c r="AB851" s="43"/>
      <c r="AC851" s="43"/>
      <c r="AD851" s="43"/>
    </row>
    <row r="852">
      <c r="A852" s="43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4"/>
      <c r="P852" s="62"/>
      <c r="Q852" s="62"/>
      <c r="R852" s="62"/>
      <c r="S852" s="62"/>
      <c r="T852" s="62"/>
      <c r="U852" s="62"/>
      <c r="V852" s="62"/>
      <c r="W852" s="62"/>
      <c r="X852" s="62"/>
      <c r="Y852" s="43"/>
      <c r="Z852" s="43"/>
      <c r="AA852" s="43"/>
      <c r="AB852" s="43"/>
      <c r="AC852" s="43"/>
      <c r="AD852" s="43"/>
    </row>
    <row r="853">
      <c r="A853" s="43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4"/>
      <c r="P853" s="62"/>
      <c r="Q853" s="62"/>
      <c r="R853" s="62"/>
      <c r="S853" s="62"/>
      <c r="T853" s="62"/>
      <c r="U853" s="62"/>
      <c r="V853" s="62"/>
      <c r="W853" s="62"/>
      <c r="X853" s="62"/>
      <c r="Y853" s="43"/>
      <c r="Z853" s="43"/>
      <c r="AA853" s="43"/>
      <c r="AB853" s="43"/>
      <c r="AC853" s="43"/>
      <c r="AD853" s="43"/>
    </row>
    <row r="854">
      <c r="A854" s="43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4"/>
      <c r="P854" s="62"/>
      <c r="Q854" s="62"/>
      <c r="R854" s="62"/>
      <c r="S854" s="62"/>
      <c r="T854" s="62"/>
      <c r="U854" s="62"/>
      <c r="V854" s="62"/>
      <c r="W854" s="62"/>
      <c r="X854" s="62"/>
      <c r="Y854" s="43"/>
      <c r="Z854" s="43"/>
      <c r="AA854" s="43"/>
      <c r="AB854" s="43"/>
      <c r="AC854" s="43"/>
      <c r="AD854" s="43"/>
    </row>
    <row r="855">
      <c r="A855" s="43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4"/>
      <c r="P855" s="62"/>
      <c r="Q855" s="62"/>
      <c r="R855" s="62"/>
      <c r="S855" s="62"/>
      <c r="T855" s="62"/>
      <c r="U855" s="62"/>
      <c r="V855" s="62"/>
      <c r="W855" s="62"/>
      <c r="X855" s="62"/>
      <c r="Y855" s="43"/>
      <c r="Z855" s="43"/>
      <c r="AA855" s="43"/>
      <c r="AB855" s="43"/>
      <c r="AC855" s="43"/>
      <c r="AD855" s="43"/>
    </row>
    <row r="856">
      <c r="A856" s="43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4"/>
      <c r="P856" s="62"/>
      <c r="Q856" s="62"/>
      <c r="R856" s="62"/>
      <c r="S856" s="62"/>
      <c r="T856" s="62"/>
      <c r="U856" s="62"/>
      <c r="V856" s="62"/>
      <c r="W856" s="62"/>
      <c r="X856" s="62"/>
      <c r="Y856" s="43"/>
      <c r="Z856" s="43"/>
      <c r="AA856" s="43"/>
      <c r="AB856" s="43"/>
      <c r="AC856" s="43"/>
      <c r="AD856" s="43"/>
    </row>
    <row r="857">
      <c r="A857" s="43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4"/>
      <c r="P857" s="62"/>
      <c r="Q857" s="62"/>
      <c r="R857" s="62"/>
      <c r="S857" s="62"/>
      <c r="T857" s="62"/>
      <c r="U857" s="62"/>
      <c r="V857" s="62"/>
      <c r="W857" s="62"/>
      <c r="X857" s="62"/>
      <c r="Y857" s="43"/>
      <c r="Z857" s="43"/>
      <c r="AA857" s="43"/>
      <c r="AB857" s="43"/>
      <c r="AC857" s="43"/>
      <c r="AD857" s="43"/>
    </row>
    <row r="858">
      <c r="A858" s="43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4"/>
      <c r="P858" s="62"/>
      <c r="Q858" s="62"/>
      <c r="R858" s="62"/>
      <c r="S858" s="62"/>
      <c r="T858" s="62"/>
      <c r="U858" s="62"/>
      <c r="V858" s="62"/>
      <c r="W858" s="62"/>
      <c r="X858" s="62"/>
      <c r="Y858" s="43"/>
      <c r="Z858" s="43"/>
      <c r="AA858" s="43"/>
      <c r="AB858" s="43"/>
      <c r="AC858" s="43"/>
      <c r="AD858" s="43"/>
    </row>
    <row r="859">
      <c r="A859" s="43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4"/>
      <c r="P859" s="62"/>
      <c r="Q859" s="62"/>
      <c r="R859" s="62"/>
      <c r="S859" s="62"/>
      <c r="T859" s="62"/>
      <c r="U859" s="62"/>
      <c r="V859" s="62"/>
      <c r="W859" s="62"/>
      <c r="X859" s="62"/>
      <c r="Y859" s="43"/>
      <c r="Z859" s="43"/>
      <c r="AA859" s="43"/>
      <c r="AB859" s="43"/>
      <c r="AC859" s="43"/>
      <c r="AD859" s="43"/>
    </row>
    <row r="860">
      <c r="A860" s="43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4"/>
      <c r="P860" s="62"/>
      <c r="Q860" s="62"/>
      <c r="R860" s="62"/>
      <c r="S860" s="62"/>
      <c r="T860" s="62"/>
      <c r="U860" s="62"/>
      <c r="V860" s="62"/>
      <c r="W860" s="62"/>
      <c r="X860" s="62"/>
      <c r="Y860" s="43"/>
      <c r="Z860" s="43"/>
      <c r="AA860" s="43"/>
      <c r="AB860" s="43"/>
      <c r="AC860" s="43"/>
      <c r="AD860" s="43"/>
    </row>
    <row r="861">
      <c r="A861" s="43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4"/>
      <c r="P861" s="62"/>
      <c r="Q861" s="62"/>
      <c r="R861" s="62"/>
      <c r="S861" s="62"/>
      <c r="T861" s="62"/>
      <c r="U861" s="62"/>
      <c r="V861" s="62"/>
      <c r="W861" s="62"/>
      <c r="X861" s="62"/>
      <c r="Y861" s="43"/>
      <c r="Z861" s="43"/>
      <c r="AA861" s="43"/>
      <c r="AB861" s="43"/>
      <c r="AC861" s="43"/>
      <c r="AD861" s="43"/>
    </row>
    <row r="862">
      <c r="A862" s="43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4"/>
      <c r="P862" s="62"/>
      <c r="Q862" s="62"/>
      <c r="R862" s="62"/>
      <c r="S862" s="62"/>
      <c r="T862" s="62"/>
      <c r="U862" s="62"/>
      <c r="V862" s="62"/>
      <c r="W862" s="62"/>
      <c r="X862" s="62"/>
      <c r="Y862" s="43"/>
      <c r="Z862" s="43"/>
      <c r="AA862" s="43"/>
      <c r="AB862" s="43"/>
      <c r="AC862" s="43"/>
      <c r="AD862" s="43"/>
    </row>
    <row r="863">
      <c r="A863" s="43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4"/>
      <c r="P863" s="62"/>
      <c r="Q863" s="62"/>
      <c r="R863" s="62"/>
      <c r="S863" s="62"/>
      <c r="T863" s="62"/>
      <c r="U863" s="62"/>
      <c r="V863" s="62"/>
      <c r="W863" s="62"/>
      <c r="X863" s="62"/>
      <c r="Y863" s="43"/>
      <c r="Z863" s="43"/>
      <c r="AA863" s="43"/>
      <c r="AB863" s="43"/>
      <c r="AC863" s="43"/>
      <c r="AD863" s="43"/>
    </row>
    <row r="864">
      <c r="A864" s="43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4"/>
      <c r="P864" s="62"/>
      <c r="Q864" s="62"/>
      <c r="R864" s="62"/>
      <c r="S864" s="62"/>
      <c r="T864" s="62"/>
      <c r="U864" s="62"/>
      <c r="V864" s="62"/>
      <c r="W864" s="62"/>
      <c r="X864" s="62"/>
      <c r="Y864" s="43"/>
      <c r="Z864" s="43"/>
      <c r="AA864" s="43"/>
      <c r="AB864" s="43"/>
      <c r="AC864" s="43"/>
      <c r="AD864" s="43"/>
    </row>
    <row r="865">
      <c r="A865" s="43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4"/>
      <c r="P865" s="62"/>
      <c r="Q865" s="62"/>
      <c r="R865" s="62"/>
      <c r="S865" s="62"/>
      <c r="T865" s="62"/>
      <c r="U865" s="62"/>
      <c r="V865" s="62"/>
      <c r="W865" s="62"/>
      <c r="X865" s="62"/>
      <c r="Y865" s="43"/>
      <c r="Z865" s="43"/>
      <c r="AA865" s="43"/>
      <c r="AB865" s="43"/>
      <c r="AC865" s="43"/>
      <c r="AD865" s="43"/>
    </row>
    <row r="866">
      <c r="A866" s="43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4"/>
      <c r="P866" s="62"/>
      <c r="Q866" s="62"/>
      <c r="R866" s="62"/>
      <c r="S866" s="62"/>
      <c r="T866" s="62"/>
      <c r="U866" s="62"/>
      <c r="V866" s="62"/>
      <c r="W866" s="62"/>
      <c r="X866" s="62"/>
      <c r="Y866" s="43"/>
      <c r="Z866" s="43"/>
      <c r="AA866" s="43"/>
      <c r="AB866" s="43"/>
      <c r="AC866" s="43"/>
      <c r="AD866" s="43"/>
    </row>
    <row r="867">
      <c r="A867" s="43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4"/>
      <c r="P867" s="62"/>
      <c r="Q867" s="62"/>
      <c r="R867" s="62"/>
      <c r="S867" s="62"/>
      <c r="T867" s="62"/>
      <c r="U867" s="62"/>
      <c r="V867" s="62"/>
      <c r="W867" s="62"/>
      <c r="X867" s="62"/>
      <c r="Y867" s="43"/>
      <c r="Z867" s="43"/>
      <c r="AA867" s="43"/>
      <c r="AB867" s="43"/>
      <c r="AC867" s="43"/>
      <c r="AD867" s="43"/>
    </row>
    <row r="868">
      <c r="A868" s="43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4"/>
      <c r="P868" s="62"/>
      <c r="Q868" s="62"/>
      <c r="R868" s="62"/>
      <c r="S868" s="62"/>
      <c r="T868" s="62"/>
      <c r="U868" s="62"/>
      <c r="V868" s="62"/>
      <c r="W868" s="62"/>
      <c r="X868" s="62"/>
      <c r="Y868" s="43"/>
      <c r="Z868" s="43"/>
      <c r="AA868" s="43"/>
      <c r="AB868" s="43"/>
      <c r="AC868" s="43"/>
      <c r="AD868" s="43"/>
    </row>
    <row r="869">
      <c r="A869" s="43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4"/>
      <c r="P869" s="62"/>
      <c r="Q869" s="62"/>
      <c r="R869" s="62"/>
      <c r="S869" s="62"/>
      <c r="T869" s="62"/>
      <c r="U869" s="62"/>
      <c r="V869" s="62"/>
      <c r="W869" s="62"/>
      <c r="X869" s="62"/>
      <c r="Y869" s="43"/>
      <c r="Z869" s="43"/>
      <c r="AA869" s="43"/>
      <c r="AB869" s="43"/>
      <c r="AC869" s="43"/>
      <c r="AD869" s="43"/>
    </row>
    <row r="870">
      <c r="A870" s="43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4"/>
      <c r="P870" s="62"/>
      <c r="Q870" s="62"/>
      <c r="R870" s="62"/>
      <c r="S870" s="62"/>
      <c r="T870" s="62"/>
      <c r="U870" s="62"/>
      <c r="V870" s="62"/>
      <c r="W870" s="62"/>
      <c r="X870" s="62"/>
      <c r="Y870" s="43"/>
      <c r="Z870" s="43"/>
      <c r="AA870" s="43"/>
      <c r="AB870" s="43"/>
      <c r="AC870" s="43"/>
      <c r="AD870" s="43"/>
    </row>
    <row r="871">
      <c r="A871" s="43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4"/>
      <c r="P871" s="62"/>
      <c r="Q871" s="62"/>
      <c r="R871" s="62"/>
      <c r="S871" s="62"/>
      <c r="T871" s="62"/>
      <c r="U871" s="62"/>
      <c r="V871" s="62"/>
      <c r="W871" s="62"/>
      <c r="X871" s="62"/>
      <c r="Y871" s="43"/>
      <c r="Z871" s="43"/>
      <c r="AA871" s="43"/>
      <c r="AB871" s="43"/>
      <c r="AC871" s="43"/>
      <c r="AD871" s="43"/>
    </row>
    <row r="872">
      <c r="A872" s="43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4"/>
      <c r="P872" s="62"/>
      <c r="Q872" s="62"/>
      <c r="R872" s="62"/>
      <c r="S872" s="62"/>
      <c r="T872" s="62"/>
      <c r="U872" s="62"/>
      <c r="V872" s="62"/>
      <c r="W872" s="62"/>
      <c r="X872" s="62"/>
      <c r="Y872" s="43"/>
      <c r="Z872" s="43"/>
      <c r="AA872" s="43"/>
      <c r="AB872" s="43"/>
      <c r="AC872" s="43"/>
      <c r="AD872" s="43"/>
    </row>
    <row r="873">
      <c r="A873" s="43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4"/>
      <c r="P873" s="62"/>
      <c r="Q873" s="62"/>
      <c r="R873" s="62"/>
      <c r="S873" s="62"/>
      <c r="T873" s="62"/>
      <c r="U873" s="62"/>
      <c r="V873" s="62"/>
      <c r="W873" s="62"/>
      <c r="X873" s="62"/>
      <c r="Y873" s="43"/>
      <c r="Z873" s="43"/>
      <c r="AA873" s="43"/>
      <c r="AB873" s="43"/>
      <c r="AC873" s="43"/>
      <c r="AD873" s="43"/>
    </row>
    <row r="874">
      <c r="A874" s="43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4"/>
      <c r="P874" s="62"/>
      <c r="Q874" s="62"/>
      <c r="R874" s="62"/>
      <c r="S874" s="62"/>
      <c r="T874" s="62"/>
      <c r="U874" s="62"/>
      <c r="V874" s="62"/>
      <c r="W874" s="62"/>
      <c r="X874" s="62"/>
      <c r="Y874" s="43"/>
      <c r="Z874" s="43"/>
      <c r="AA874" s="43"/>
      <c r="AB874" s="43"/>
      <c r="AC874" s="43"/>
      <c r="AD874" s="43"/>
    </row>
    <row r="875">
      <c r="A875" s="43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4"/>
      <c r="P875" s="62"/>
      <c r="Q875" s="62"/>
      <c r="R875" s="62"/>
      <c r="S875" s="62"/>
      <c r="T875" s="62"/>
      <c r="U875" s="62"/>
      <c r="V875" s="62"/>
      <c r="W875" s="62"/>
      <c r="X875" s="62"/>
      <c r="Y875" s="43"/>
      <c r="Z875" s="43"/>
      <c r="AA875" s="43"/>
      <c r="AB875" s="43"/>
      <c r="AC875" s="43"/>
      <c r="AD875" s="43"/>
    </row>
    <row r="876">
      <c r="A876" s="43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4"/>
      <c r="P876" s="62"/>
      <c r="Q876" s="62"/>
      <c r="R876" s="62"/>
      <c r="S876" s="62"/>
      <c r="T876" s="62"/>
      <c r="U876" s="62"/>
      <c r="V876" s="62"/>
      <c r="W876" s="62"/>
      <c r="X876" s="62"/>
      <c r="Y876" s="43"/>
      <c r="Z876" s="43"/>
      <c r="AA876" s="43"/>
      <c r="AB876" s="43"/>
      <c r="AC876" s="43"/>
      <c r="AD876" s="43"/>
    </row>
    <row r="877">
      <c r="A877" s="43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4"/>
      <c r="P877" s="62"/>
      <c r="Q877" s="62"/>
      <c r="R877" s="62"/>
      <c r="S877" s="62"/>
      <c r="T877" s="62"/>
      <c r="U877" s="62"/>
      <c r="V877" s="62"/>
      <c r="W877" s="62"/>
      <c r="X877" s="62"/>
      <c r="Y877" s="43"/>
      <c r="Z877" s="43"/>
      <c r="AA877" s="43"/>
      <c r="AB877" s="43"/>
      <c r="AC877" s="43"/>
      <c r="AD877" s="43"/>
    </row>
    <row r="878">
      <c r="A878" s="43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4"/>
      <c r="P878" s="62"/>
      <c r="Q878" s="62"/>
      <c r="R878" s="62"/>
      <c r="S878" s="62"/>
      <c r="T878" s="62"/>
      <c r="U878" s="62"/>
      <c r="V878" s="62"/>
      <c r="W878" s="62"/>
      <c r="X878" s="62"/>
      <c r="Y878" s="43"/>
      <c r="Z878" s="43"/>
      <c r="AA878" s="43"/>
      <c r="AB878" s="43"/>
      <c r="AC878" s="43"/>
      <c r="AD878" s="43"/>
    </row>
    <row r="879">
      <c r="A879" s="43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4"/>
      <c r="P879" s="62"/>
      <c r="Q879" s="62"/>
      <c r="R879" s="62"/>
      <c r="S879" s="62"/>
      <c r="T879" s="62"/>
      <c r="U879" s="62"/>
      <c r="V879" s="62"/>
      <c r="W879" s="62"/>
      <c r="X879" s="62"/>
      <c r="Y879" s="43"/>
      <c r="Z879" s="43"/>
      <c r="AA879" s="43"/>
      <c r="AB879" s="43"/>
      <c r="AC879" s="43"/>
      <c r="AD879" s="43"/>
    </row>
    <row r="880">
      <c r="A880" s="43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4"/>
      <c r="P880" s="62"/>
      <c r="Q880" s="62"/>
      <c r="R880" s="62"/>
      <c r="S880" s="62"/>
      <c r="T880" s="62"/>
      <c r="U880" s="62"/>
      <c r="V880" s="62"/>
      <c r="W880" s="62"/>
      <c r="X880" s="62"/>
      <c r="Y880" s="43"/>
      <c r="Z880" s="43"/>
      <c r="AA880" s="43"/>
      <c r="AB880" s="43"/>
      <c r="AC880" s="43"/>
      <c r="AD880" s="43"/>
    </row>
    <row r="881">
      <c r="A881" s="43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4"/>
      <c r="P881" s="62"/>
      <c r="Q881" s="62"/>
      <c r="R881" s="62"/>
      <c r="S881" s="62"/>
      <c r="T881" s="62"/>
      <c r="U881" s="62"/>
      <c r="V881" s="62"/>
      <c r="W881" s="62"/>
      <c r="X881" s="62"/>
      <c r="Y881" s="43"/>
      <c r="Z881" s="43"/>
      <c r="AA881" s="43"/>
      <c r="AB881" s="43"/>
      <c r="AC881" s="43"/>
      <c r="AD881" s="43"/>
    </row>
    <row r="882">
      <c r="A882" s="43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4"/>
      <c r="P882" s="62"/>
      <c r="Q882" s="62"/>
      <c r="R882" s="62"/>
      <c r="S882" s="62"/>
      <c r="T882" s="62"/>
      <c r="U882" s="62"/>
      <c r="V882" s="62"/>
      <c r="W882" s="62"/>
      <c r="X882" s="62"/>
      <c r="Y882" s="43"/>
      <c r="Z882" s="43"/>
      <c r="AA882" s="43"/>
      <c r="AB882" s="43"/>
      <c r="AC882" s="43"/>
      <c r="AD882" s="43"/>
    </row>
    <row r="883">
      <c r="A883" s="43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4"/>
      <c r="P883" s="62"/>
      <c r="Q883" s="62"/>
      <c r="R883" s="62"/>
      <c r="S883" s="62"/>
      <c r="T883" s="62"/>
      <c r="U883" s="62"/>
      <c r="V883" s="62"/>
      <c r="W883" s="62"/>
      <c r="X883" s="62"/>
      <c r="Y883" s="43"/>
      <c r="Z883" s="43"/>
      <c r="AA883" s="43"/>
      <c r="AB883" s="43"/>
      <c r="AC883" s="43"/>
      <c r="AD883" s="43"/>
    </row>
    <row r="884">
      <c r="A884" s="43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4"/>
      <c r="P884" s="62"/>
      <c r="Q884" s="62"/>
      <c r="R884" s="62"/>
      <c r="S884" s="62"/>
      <c r="T884" s="62"/>
      <c r="U884" s="62"/>
      <c r="V884" s="62"/>
      <c r="W884" s="62"/>
      <c r="X884" s="62"/>
      <c r="Y884" s="43"/>
      <c r="Z884" s="43"/>
      <c r="AA884" s="43"/>
      <c r="AB884" s="43"/>
      <c r="AC884" s="43"/>
      <c r="AD884" s="43"/>
    </row>
    <row r="885">
      <c r="A885" s="43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4"/>
      <c r="P885" s="62"/>
      <c r="Q885" s="62"/>
      <c r="R885" s="62"/>
      <c r="S885" s="62"/>
      <c r="T885" s="62"/>
      <c r="U885" s="62"/>
      <c r="V885" s="62"/>
      <c r="W885" s="62"/>
      <c r="X885" s="62"/>
      <c r="Y885" s="43"/>
      <c r="Z885" s="43"/>
      <c r="AA885" s="43"/>
      <c r="AB885" s="43"/>
      <c r="AC885" s="43"/>
      <c r="AD885" s="43"/>
    </row>
    <row r="886">
      <c r="A886" s="43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4"/>
      <c r="P886" s="62"/>
      <c r="Q886" s="62"/>
      <c r="R886" s="62"/>
      <c r="S886" s="62"/>
      <c r="T886" s="62"/>
      <c r="U886" s="62"/>
      <c r="V886" s="62"/>
      <c r="W886" s="62"/>
      <c r="X886" s="62"/>
      <c r="Y886" s="43"/>
      <c r="Z886" s="43"/>
      <c r="AA886" s="43"/>
      <c r="AB886" s="43"/>
      <c r="AC886" s="43"/>
      <c r="AD886" s="43"/>
    </row>
    <row r="887">
      <c r="A887" s="43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4"/>
      <c r="P887" s="62"/>
      <c r="Q887" s="62"/>
      <c r="R887" s="62"/>
      <c r="S887" s="62"/>
      <c r="T887" s="62"/>
      <c r="U887" s="62"/>
      <c r="V887" s="62"/>
      <c r="W887" s="62"/>
      <c r="X887" s="62"/>
      <c r="Y887" s="43"/>
      <c r="Z887" s="43"/>
      <c r="AA887" s="43"/>
      <c r="AB887" s="43"/>
      <c r="AC887" s="43"/>
      <c r="AD887" s="43"/>
    </row>
    <row r="888">
      <c r="A888" s="43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4"/>
      <c r="P888" s="62"/>
      <c r="Q888" s="62"/>
      <c r="R888" s="62"/>
      <c r="S888" s="62"/>
      <c r="T888" s="62"/>
      <c r="U888" s="62"/>
      <c r="V888" s="62"/>
      <c r="W888" s="62"/>
      <c r="X888" s="62"/>
      <c r="Y888" s="43"/>
      <c r="Z888" s="43"/>
      <c r="AA888" s="43"/>
      <c r="AB888" s="43"/>
      <c r="AC888" s="43"/>
      <c r="AD888" s="43"/>
    </row>
    <row r="889">
      <c r="A889" s="43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4"/>
      <c r="P889" s="62"/>
      <c r="Q889" s="62"/>
      <c r="R889" s="62"/>
      <c r="S889" s="62"/>
      <c r="T889" s="62"/>
      <c r="U889" s="62"/>
      <c r="V889" s="62"/>
      <c r="W889" s="62"/>
      <c r="X889" s="62"/>
      <c r="Y889" s="43"/>
      <c r="Z889" s="43"/>
      <c r="AA889" s="43"/>
      <c r="AB889" s="43"/>
      <c r="AC889" s="43"/>
      <c r="AD889" s="43"/>
    </row>
    <row r="890">
      <c r="A890" s="43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4"/>
      <c r="P890" s="62"/>
      <c r="Q890" s="62"/>
      <c r="R890" s="62"/>
      <c r="S890" s="62"/>
      <c r="T890" s="62"/>
      <c r="U890" s="62"/>
      <c r="V890" s="62"/>
      <c r="W890" s="62"/>
      <c r="X890" s="62"/>
      <c r="Y890" s="43"/>
      <c r="Z890" s="43"/>
      <c r="AA890" s="43"/>
      <c r="AB890" s="43"/>
      <c r="AC890" s="43"/>
      <c r="AD890" s="43"/>
    </row>
    <row r="891">
      <c r="A891" s="43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4"/>
      <c r="P891" s="62"/>
      <c r="Q891" s="62"/>
      <c r="R891" s="62"/>
      <c r="S891" s="62"/>
      <c r="T891" s="62"/>
      <c r="U891" s="62"/>
      <c r="V891" s="62"/>
      <c r="W891" s="62"/>
      <c r="X891" s="62"/>
      <c r="Y891" s="43"/>
      <c r="Z891" s="43"/>
      <c r="AA891" s="43"/>
      <c r="AB891" s="43"/>
      <c r="AC891" s="43"/>
      <c r="AD891" s="43"/>
    </row>
    <row r="892">
      <c r="A892" s="43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4"/>
      <c r="P892" s="62"/>
      <c r="Q892" s="62"/>
      <c r="R892" s="62"/>
      <c r="S892" s="62"/>
      <c r="T892" s="62"/>
      <c r="U892" s="62"/>
      <c r="V892" s="62"/>
      <c r="W892" s="62"/>
      <c r="X892" s="62"/>
      <c r="Y892" s="43"/>
      <c r="Z892" s="43"/>
      <c r="AA892" s="43"/>
      <c r="AB892" s="43"/>
      <c r="AC892" s="43"/>
      <c r="AD892" s="43"/>
    </row>
    <row r="893">
      <c r="A893" s="43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4"/>
      <c r="P893" s="62"/>
      <c r="Q893" s="62"/>
      <c r="R893" s="62"/>
      <c r="S893" s="62"/>
      <c r="T893" s="62"/>
      <c r="U893" s="62"/>
      <c r="V893" s="62"/>
      <c r="W893" s="62"/>
      <c r="X893" s="62"/>
      <c r="Y893" s="43"/>
      <c r="Z893" s="43"/>
      <c r="AA893" s="43"/>
      <c r="AB893" s="43"/>
      <c r="AC893" s="43"/>
      <c r="AD893" s="43"/>
    </row>
    <row r="894">
      <c r="A894" s="43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4"/>
      <c r="P894" s="62"/>
      <c r="Q894" s="62"/>
      <c r="R894" s="62"/>
      <c r="S894" s="62"/>
      <c r="T894" s="62"/>
      <c r="U894" s="62"/>
      <c r="V894" s="62"/>
      <c r="W894" s="62"/>
      <c r="X894" s="62"/>
      <c r="Y894" s="43"/>
      <c r="Z894" s="43"/>
      <c r="AA894" s="43"/>
      <c r="AB894" s="43"/>
      <c r="AC894" s="43"/>
      <c r="AD894" s="43"/>
    </row>
    <row r="895">
      <c r="A895" s="43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4"/>
      <c r="P895" s="62"/>
      <c r="Q895" s="62"/>
      <c r="R895" s="62"/>
      <c r="S895" s="62"/>
      <c r="T895" s="62"/>
      <c r="U895" s="62"/>
      <c r="V895" s="62"/>
      <c r="W895" s="62"/>
      <c r="X895" s="62"/>
      <c r="Y895" s="43"/>
      <c r="Z895" s="43"/>
      <c r="AA895" s="43"/>
      <c r="AB895" s="43"/>
      <c r="AC895" s="43"/>
      <c r="AD895" s="43"/>
    </row>
    <row r="896">
      <c r="A896" s="43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4"/>
      <c r="P896" s="62"/>
      <c r="Q896" s="62"/>
      <c r="R896" s="62"/>
      <c r="S896" s="62"/>
      <c r="T896" s="62"/>
      <c r="U896" s="62"/>
      <c r="V896" s="62"/>
      <c r="W896" s="62"/>
      <c r="X896" s="62"/>
      <c r="Y896" s="43"/>
      <c r="Z896" s="43"/>
      <c r="AA896" s="43"/>
      <c r="AB896" s="43"/>
      <c r="AC896" s="43"/>
      <c r="AD896" s="43"/>
    </row>
    <row r="897">
      <c r="A897" s="43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4"/>
      <c r="P897" s="62"/>
      <c r="Q897" s="62"/>
      <c r="R897" s="62"/>
      <c r="S897" s="62"/>
      <c r="T897" s="62"/>
      <c r="U897" s="62"/>
      <c r="V897" s="62"/>
      <c r="W897" s="62"/>
      <c r="X897" s="62"/>
      <c r="Y897" s="43"/>
      <c r="Z897" s="43"/>
      <c r="AA897" s="43"/>
      <c r="AB897" s="43"/>
      <c r="AC897" s="43"/>
      <c r="AD897" s="43"/>
    </row>
    <row r="898">
      <c r="A898" s="43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4"/>
      <c r="P898" s="62"/>
      <c r="Q898" s="62"/>
      <c r="R898" s="62"/>
      <c r="S898" s="62"/>
      <c r="T898" s="62"/>
      <c r="U898" s="62"/>
      <c r="V898" s="62"/>
      <c r="W898" s="62"/>
      <c r="X898" s="62"/>
      <c r="Y898" s="43"/>
      <c r="Z898" s="43"/>
      <c r="AA898" s="43"/>
      <c r="AB898" s="43"/>
      <c r="AC898" s="43"/>
      <c r="AD898" s="43"/>
    </row>
    <row r="899">
      <c r="A899" s="43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4"/>
      <c r="P899" s="62"/>
      <c r="Q899" s="62"/>
      <c r="R899" s="62"/>
      <c r="S899" s="62"/>
      <c r="T899" s="62"/>
      <c r="U899" s="62"/>
      <c r="V899" s="62"/>
      <c r="W899" s="62"/>
      <c r="X899" s="62"/>
      <c r="Y899" s="43"/>
      <c r="Z899" s="43"/>
      <c r="AA899" s="43"/>
      <c r="AB899" s="43"/>
      <c r="AC899" s="43"/>
      <c r="AD899" s="43"/>
    </row>
    <row r="900">
      <c r="A900" s="43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4"/>
      <c r="P900" s="62"/>
      <c r="Q900" s="62"/>
      <c r="R900" s="62"/>
      <c r="S900" s="62"/>
      <c r="T900" s="62"/>
      <c r="U900" s="62"/>
      <c r="V900" s="62"/>
      <c r="W900" s="62"/>
      <c r="X900" s="62"/>
      <c r="Y900" s="43"/>
      <c r="Z900" s="43"/>
      <c r="AA900" s="43"/>
      <c r="AB900" s="43"/>
      <c r="AC900" s="43"/>
      <c r="AD900" s="43"/>
    </row>
    <row r="901">
      <c r="A901" s="43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4"/>
      <c r="P901" s="62"/>
      <c r="Q901" s="62"/>
      <c r="R901" s="62"/>
      <c r="S901" s="62"/>
      <c r="T901" s="62"/>
      <c r="U901" s="62"/>
      <c r="V901" s="62"/>
      <c r="W901" s="62"/>
      <c r="X901" s="62"/>
      <c r="Y901" s="43"/>
      <c r="Z901" s="43"/>
      <c r="AA901" s="43"/>
      <c r="AB901" s="43"/>
      <c r="AC901" s="43"/>
      <c r="AD901" s="43"/>
    </row>
    <row r="902">
      <c r="A902" s="43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4"/>
      <c r="P902" s="62"/>
      <c r="Q902" s="62"/>
      <c r="R902" s="62"/>
      <c r="S902" s="62"/>
      <c r="T902" s="62"/>
      <c r="U902" s="62"/>
      <c r="V902" s="62"/>
      <c r="W902" s="62"/>
      <c r="X902" s="62"/>
      <c r="Y902" s="43"/>
      <c r="Z902" s="43"/>
      <c r="AA902" s="43"/>
      <c r="AB902" s="43"/>
      <c r="AC902" s="43"/>
      <c r="AD902" s="43"/>
    </row>
    <row r="903">
      <c r="A903" s="43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4"/>
      <c r="P903" s="62"/>
      <c r="Q903" s="62"/>
      <c r="R903" s="62"/>
      <c r="S903" s="62"/>
      <c r="T903" s="62"/>
      <c r="U903" s="62"/>
      <c r="V903" s="62"/>
      <c r="W903" s="62"/>
      <c r="X903" s="62"/>
      <c r="Y903" s="43"/>
      <c r="Z903" s="43"/>
      <c r="AA903" s="43"/>
      <c r="AB903" s="43"/>
      <c r="AC903" s="43"/>
      <c r="AD903" s="43"/>
    </row>
    <row r="904">
      <c r="A904" s="43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4"/>
      <c r="P904" s="62"/>
      <c r="Q904" s="62"/>
      <c r="R904" s="62"/>
      <c r="S904" s="62"/>
      <c r="T904" s="62"/>
      <c r="U904" s="62"/>
      <c r="V904" s="62"/>
      <c r="W904" s="62"/>
      <c r="X904" s="62"/>
      <c r="Y904" s="43"/>
      <c r="Z904" s="43"/>
      <c r="AA904" s="43"/>
      <c r="AB904" s="43"/>
      <c r="AC904" s="43"/>
      <c r="AD904" s="43"/>
    </row>
    <row r="905">
      <c r="A905" s="43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4"/>
      <c r="P905" s="62"/>
      <c r="Q905" s="62"/>
      <c r="R905" s="62"/>
      <c r="S905" s="62"/>
      <c r="T905" s="62"/>
      <c r="U905" s="62"/>
      <c r="V905" s="62"/>
      <c r="W905" s="62"/>
      <c r="X905" s="62"/>
      <c r="Y905" s="43"/>
      <c r="Z905" s="43"/>
      <c r="AA905" s="43"/>
      <c r="AB905" s="43"/>
      <c r="AC905" s="43"/>
      <c r="AD905" s="43"/>
    </row>
    <row r="906">
      <c r="A906" s="43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4"/>
      <c r="P906" s="62"/>
      <c r="Q906" s="62"/>
      <c r="R906" s="62"/>
      <c r="S906" s="62"/>
      <c r="T906" s="62"/>
      <c r="U906" s="62"/>
      <c r="V906" s="62"/>
      <c r="W906" s="62"/>
      <c r="X906" s="62"/>
      <c r="Y906" s="43"/>
      <c r="Z906" s="43"/>
      <c r="AA906" s="43"/>
      <c r="AB906" s="43"/>
      <c r="AC906" s="43"/>
      <c r="AD906" s="43"/>
    </row>
    <row r="907">
      <c r="A907" s="43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4"/>
      <c r="P907" s="62"/>
      <c r="Q907" s="62"/>
      <c r="R907" s="62"/>
      <c r="S907" s="62"/>
      <c r="T907" s="62"/>
      <c r="U907" s="62"/>
      <c r="V907" s="62"/>
      <c r="W907" s="62"/>
      <c r="X907" s="62"/>
      <c r="Y907" s="43"/>
      <c r="Z907" s="43"/>
      <c r="AA907" s="43"/>
      <c r="AB907" s="43"/>
      <c r="AC907" s="43"/>
      <c r="AD907" s="43"/>
    </row>
    <row r="908">
      <c r="A908" s="43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4"/>
      <c r="P908" s="62"/>
      <c r="Q908" s="62"/>
      <c r="R908" s="62"/>
      <c r="S908" s="62"/>
      <c r="T908" s="62"/>
      <c r="U908" s="62"/>
      <c r="V908" s="62"/>
      <c r="W908" s="62"/>
      <c r="X908" s="62"/>
      <c r="Y908" s="43"/>
      <c r="Z908" s="43"/>
      <c r="AA908" s="43"/>
      <c r="AB908" s="43"/>
      <c r="AC908" s="43"/>
      <c r="AD908" s="43"/>
    </row>
    <row r="909">
      <c r="A909" s="43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4"/>
      <c r="P909" s="62"/>
      <c r="Q909" s="62"/>
      <c r="R909" s="62"/>
      <c r="S909" s="62"/>
      <c r="T909" s="62"/>
      <c r="U909" s="62"/>
      <c r="V909" s="62"/>
      <c r="W909" s="62"/>
      <c r="X909" s="62"/>
      <c r="Y909" s="43"/>
      <c r="Z909" s="43"/>
      <c r="AA909" s="43"/>
      <c r="AB909" s="43"/>
      <c r="AC909" s="43"/>
      <c r="AD909" s="43"/>
    </row>
    <row r="910">
      <c r="A910" s="43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4"/>
      <c r="P910" s="62"/>
      <c r="Q910" s="62"/>
      <c r="R910" s="62"/>
      <c r="S910" s="62"/>
      <c r="T910" s="62"/>
      <c r="U910" s="62"/>
      <c r="V910" s="62"/>
      <c r="W910" s="62"/>
      <c r="X910" s="62"/>
      <c r="Y910" s="43"/>
      <c r="Z910" s="43"/>
      <c r="AA910" s="43"/>
      <c r="AB910" s="43"/>
      <c r="AC910" s="43"/>
      <c r="AD910" s="43"/>
    </row>
    <row r="911">
      <c r="A911" s="43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4"/>
      <c r="P911" s="62"/>
      <c r="Q911" s="62"/>
      <c r="R911" s="62"/>
      <c r="S911" s="62"/>
      <c r="T911" s="62"/>
      <c r="U911" s="62"/>
      <c r="V911" s="62"/>
      <c r="W911" s="62"/>
      <c r="X911" s="62"/>
      <c r="Y911" s="43"/>
      <c r="Z911" s="43"/>
      <c r="AA911" s="43"/>
      <c r="AB911" s="43"/>
      <c r="AC911" s="43"/>
      <c r="AD911" s="43"/>
    </row>
    <row r="912">
      <c r="A912" s="43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4"/>
      <c r="P912" s="62"/>
      <c r="Q912" s="62"/>
      <c r="R912" s="62"/>
      <c r="S912" s="62"/>
      <c r="T912" s="62"/>
      <c r="U912" s="62"/>
      <c r="V912" s="62"/>
      <c r="W912" s="62"/>
      <c r="X912" s="62"/>
      <c r="Y912" s="43"/>
      <c r="Z912" s="43"/>
      <c r="AA912" s="43"/>
      <c r="AB912" s="43"/>
      <c r="AC912" s="43"/>
      <c r="AD912" s="43"/>
    </row>
    <row r="913">
      <c r="A913" s="43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4"/>
      <c r="P913" s="62"/>
      <c r="Q913" s="62"/>
      <c r="R913" s="62"/>
      <c r="S913" s="62"/>
      <c r="T913" s="62"/>
      <c r="U913" s="62"/>
      <c r="V913" s="62"/>
      <c r="W913" s="62"/>
      <c r="X913" s="62"/>
      <c r="Y913" s="43"/>
      <c r="Z913" s="43"/>
      <c r="AA913" s="43"/>
      <c r="AB913" s="43"/>
      <c r="AC913" s="43"/>
      <c r="AD913" s="43"/>
    </row>
    <row r="914">
      <c r="A914" s="43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4"/>
      <c r="P914" s="62"/>
      <c r="Q914" s="62"/>
      <c r="R914" s="62"/>
      <c r="S914" s="62"/>
      <c r="T914" s="62"/>
      <c r="U914" s="62"/>
      <c r="V914" s="62"/>
      <c r="W914" s="62"/>
      <c r="X914" s="62"/>
      <c r="Y914" s="43"/>
      <c r="Z914" s="43"/>
      <c r="AA914" s="43"/>
      <c r="AB914" s="43"/>
      <c r="AC914" s="43"/>
      <c r="AD914" s="43"/>
    </row>
    <row r="915">
      <c r="A915" s="43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4"/>
      <c r="P915" s="62"/>
      <c r="Q915" s="62"/>
      <c r="R915" s="62"/>
      <c r="S915" s="62"/>
      <c r="T915" s="62"/>
      <c r="U915" s="62"/>
      <c r="V915" s="62"/>
      <c r="W915" s="62"/>
      <c r="X915" s="62"/>
      <c r="Y915" s="43"/>
      <c r="Z915" s="43"/>
      <c r="AA915" s="43"/>
      <c r="AB915" s="43"/>
      <c r="AC915" s="43"/>
      <c r="AD915" s="43"/>
    </row>
    <row r="916">
      <c r="A916" s="43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4"/>
      <c r="P916" s="62"/>
      <c r="Q916" s="62"/>
      <c r="R916" s="62"/>
      <c r="S916" s="62"/>
      <c r="T916" s="62"/>
      <c r="U916" s="62"/>
      <c r="V916" s="62"/>
      <c r="W916" s="62"/>
      <c r="X916" s="62"/>
      <c r="Y916" s="43"/>
      <c r="Z916" s="43"/>
      <c r="AA916" s="43"/>
      <c r="AB916" s="43"/>
      <c r="AC916" s="43"/>
      <c r="AD916" s="43"/>
    </row>
    <row r="917">
      <c r="A917" s="43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4"/>
      <c r="P917" s="62"/>
      <c r="Q917" s="62"/>
      <c r="R917" s="62"/>
      <c r="S917" s="62"/>
      <c r="T917" s="62"/>
      <c r="U917" s="62"/>
      <c r="V917" s="62"/>
      <c r="W917" s="62"/>
      <c r="X917" s="62"/>
      <c r="Y917" s="43"/>
      <c r="Z917" s="43"/>
      <c r="AA917" s="43"/>
      <c r="AB917" s="43"/>
      <c r="AC917" s="43"/>
      <c r="AD917" s="43"/>
    </row>
    <row r="918">
      <c r="A918" s="43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4"/>
      <c r="P918" s="62"/>
      <c r="Q918" s="62"/>
      <c r="R918" s="62"/>
      <c r="S918" s="62"/>
      <c r="T918" s="62"/>
      <c r="U918" s="62"/>
      <c r="V918" s="62"/>
      <c r="W918" s="62"/>
      <c r="X918" s="62"/>
      <c r="Y918" s="43"/>
      <c r="Z918" s="43"/>
      <c r="AA918" s="43"/>
      <c r="AB918" s="43"/>
      <c r="AC918" s="43"/>
      <c r="AD918" s="43"/>
    </row>
    <row r="919">
      <c r="A919" s="43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4"/>
      <c r="P919" s="62"/>
      <c r="Q919" s="62"/>
      <c r="R919" s="62"/>
      <c r="S919" s="62"/>
      <c r="T919" s="62"/>
      <c r="U919" s="62"/>
      <c r="V919" s="62"/>
      <c r="W919" s="62"/>
      <c r="X919" s="62"/>
      <c r="Y919" s="43"/>
      <c r="Z919" s="43"/>
      <c r="AA919" s="43"/>
      <c r="AB919" s="43"/>
      <c r="AC919" s="43"/>
      <c r="AD919" s="43"/>
    </row>
    <row r="920">
      <c r="A920" s="43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4"/>
      <c r="P920" s="62"/>
      <c r="Q920" s="62"/>
      <c r="R920" s="62"/>
      <c r="S920" s="62"/>
      <c r="T920" s="62"/>
      <c r="U920" s="62"/>
      <c r="V920" s="62"/>
      <c r="W920" s="62"/>
      <c r="X920" s="62"/>
      <c r="Y920" s="43"/>
      <c r="Z920" s="43"/>
      <c r="AA920" s="43"/>
      <c r="AB920" s="43"/>
      <c r="AC920" s="43"/>
      <c r="AD920" s="43"/>
    </row>
    <row r="921">
      <c r="A921" s="43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4"/>
      <c r="P921" s="62"/>
      <c r="Q921" s="62"/>
      <c r="R921" s="62"/>
      <c r="S921" s="62"/>
      <c r="T921" s="62"/>
      <c r="U921" s="62"/>
      <c r="V921" s="62"/>
      <c r="W921" s="62"/>
      <c r="X921" s="62"/>
      <c r="Y921" s="43"/>
      <c r="Z921" s="43"/>
      <c r="AA921" s="43"/>
      <c r="AB921" s="43"/>
      <c r="AC921" s="43"/>
      <c r="AD921" s="43"/>
    </row>
    <row r="922">
      <c r="A922" s="43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4"/>
      <c r="P922" s="62"/>
      <c r="Q922" s="62"/>
      <c r="R922" s="62"/>
      <c r="S922" s="62"/>
      <c r="T922" s="62"/>
      <c r="U922" s="62"/>
      <c r="V922" s="62"/>
      <c r="W922" s="62"/>
      <c r="X922" s="62"/>
      <c r="Y922" s="43"/>
      <c r="Z922" s="43"/>
      <c r="AA922" s="43"/>
      <c r="AB922" s="43"/>
      <c r="AC922" s="43"/>
      <c r="AD922" s="43"/>
    </row>
    <row r="923">
      <c r="A923" s="43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4"/>
      <c r="P923" s="62"/>
      <c r="Q923" s="62"/>
      <c r="R923" s="62"/>
      <c r="S923" s="62"/>
      <c r="T923" s="62"/>
      <c r="U923" s="62"/>
      <c r="V923" s="62"/>
      <c r="W923" s="62"/>
      <c r="X923" s="62"/>
      <c r="Y923" s="43"/>
      <c r="Z923" s="43"/>
      <c r="AA923" s="43"/>
      <c r="AB923" s="43"/>
      <c r="AC923" s="43"/>
      <c r="AD923" s="43"/>
    </row>
    <row r="924">
      <c r="A924" s="43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4"/>
      <c r="P924" s="62"/>
      <c r="Q924" s="62"/>
      <c r="R924" s="62"/>
      <c r="S924" s="62"/>
      <c r="T924" s="62"/>
      <c r="U924" s="62"/>
      <c r="V924" s="62"/>
      <c r="W924" s="62"/>
      <c r="X924" s="62"/>
      <c r="Y924" s="43"/>
      <c r="Z924" s="43"/>
      <c r="AA924" s="43"/>
      <c r="AB924" s="43"/>
      <c r="AC924" s="43"/>
      <c r="AD924" s="43"/>
    </row>
    <row r="925">
      <c r="A925" s="43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4"/>
      <c r="P925" s="62"/>
      <c r="Q925" s="62"/>
      <c r="R925" s="62"/>
      <c r="S925" s="62"/>
      <c r="T925" s="62"/>
      <c r="U925" s="62"/>
      <c r="V925" s="62"/>
      <c r="W925" s="62"/>
      <c r="X925" s="62"/>
      <c r="Y925" s="43"/>
      <c r="Z925" s="43"/>
      <c r="AA925" s="43"/>
      <c r="AB925" s="43"/>
      <c r="AC925" s="43"/>
      <c r="AD925" s="43"/>
    </row>
    <row r="926">
      <c r="A926" s="43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4"/>
      <c r="P926" s="62"/>
      <c r="Q926" s="62"/>
      <c r="R926" s="62"/>
      <c r="S926" s="62"/>
      <c r="T926" s="62"/>
      <c r="U926" s="62"/>
      <c r="V926" s="62"/>
      <c r="W926" s="62"/>
      <c r="X926" s="62"/>
      <c r="Y926" s="43"/>
      <c r="Z926" s="43"/>
      <c r="AA926" s="43"/>
      <c r="AB926" s="43"/>
      <c r="AC926" s="43"/>
      <c r="AD926" s="43"/>
    </row>
    <row r="927">
      <c r="A927" s="43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4"/>
      <c r="P927" s="62"/>
      <c r="Q927" s="62"/>
      <c r="R927" s="62"/>
      <c r="S927" s="62"/>
      <c r="T927" s="62"/>
      <c r="U927" s="62"/>
      <c r="V927" s="62"/>
      <c r="W927" s="62"/>
      <c r="X927" s="62"/>
      <c r="Y927" s="43"/>
      <c r="Z927" s="43"/>
      <c r="AA927" s="43"/>
      <c r="AB927" s="43"/>
      <c r="AC927" s="43"/>
      <c r="AD927" s="43"/>
    </row>
    <row r="928">
      <c r="A928" s="43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4"/>
      <c r="P928" s="62"/>
      <c r="Q928" s="62"/>
      <c r="R928" s="62"/>
      <c r="S928" s="62"/>
      <c r="T928" s="62"/>
      <c r="U928" s="62"/>
      <c r="V928" s="62"/>
      <c r="W928" s="62"/>
      <c r="X928" s="62"/>
      <c r="Y928" s="43"/>
      <c r="Z928" s="43"/>
      <c r="AA928" s="43"/>
      <c r="AB928" s="43"/>
      <c r="AC928" s="43"/>
      <c r="AD928" s="43"/>
    </row>
    <row r="929">
      <c r="A929" s="43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4"/>
      <c r="P929" s="62"/>
      <c r="Q929" s="62"/>
      <c r="R929" s="62"/>
      <c r="S929" s="62"/>
      <c r="T929" s="62"/>
      <c r="U929" s="62"/>
      <c r="V929" s="62"/>
      <c r="W929" s="62"/>
      <c r="X929" s="62"/>
      <c r="Y929" s="43"/>
      <c r="Z929" s="43"/>
      <c r="AA929" s="43"/>
      <c r="AB929" s="43"/>
      <c r="AC929" s="43"/>
      <c r="AD929" s="43"/>
    </row>
    <row r="930">
      <c r="A930" s="43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4"/>
      <c r="P930" s="62"/>
      <c r="Q930" s="62"/>
      <c r="R930" s="62"/>
      <c r="S930" s="62"/>
      <c r="T930" s="62"/>
      <c r="U930" s="62"/>
      <c r="V930" s="62"/>
      <c r="W930" s="62"/>
      <c r="X930" s="62"/>
      <c r="Y930" s="43"/>
      <c r="Z930" s="43"/>
      <c r="AA930" s="43"/>
      <c r="AB930" s="43"/>
      <c r="AC930" s="43"/>
      <c r="AD930" s="43"/>
    </row>
    <row r="931">
      <c r="A931" s="43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4"/>
      <c r="P931" s="62"/>
      <c r="Q931" s="62"/>
      <c r="R931" s="62"/>
      <c r="S931" s="62"/>
      <c r="T931" s="62"/>
      <c r="U931" s="62"/>
      <c r="V931" s="62"/>
      <c r="W931" s="62"/>
      <c r="X931" s="62"/>
      <c r="Y931" s="43"/>
      <c r="Z931" s="43"/>
      <c r="AA931" s="43"/>
      <c r="AB931" s="43"/>
      <c r="AC931" s="43"/>
      <c r="AD931" s="43"/>
    </row>
    <row r="932">
      <c r="A932" s="43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4"/>
      <c r="P932" s="62"/>
      <c r="Q932" s="62"/>
      <c r="R932" s="62"/>
      <c r="S932" s="62"/>
      <c r="T932" s="62"/>
      <c r="U932" s="62"/>
      <c r="V932" s="62"/>
      <c r="W932" s="62"/>
      <c r="X932" s="62"/>
      <c r="Y932" s="43"/>
      <c r="Z932" s="43"/>
      <c r="AA932" s="43"/>
      <c r="AB932" s="43"/>
      <c r="AC932" s="43"/>
      <c r="AD932" s="43"/>
    </row>
    <row r="933">
      <c r="A933" s="43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4"/>
      <c r="P933" s="62"/>
      <c r="Q933" s="62"/>
      <c r="R933" s="62"/>
      <c r="S933" s="62"/>
      <c r="T933" s="62"/>
      <c r="U933" s="62"/>
      <c r="V933" s="62"/>
      <c r="W933" s="62"/>
      <c r="X933" s="62"/>
      <c r="Y933" s="43"/>
      <c r="Z933" s="43"/>
      <c r="AA933" s="43"/>
      <c r="AB933" s="43"/>
      <c r="AC933" s="43"/>
      <c r="AD933" s="43"/>
    </row>
    <row r="934">
      <c r="A934" s="43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4"/>
      <c r="P934" s="62"/>
      <c r="Q934" s="62"/>
      <c r="R934" s="62"/>
      <c r="S934" s="62"/>
      <c r="T934" s="62"/>
      <c r="U934" s="62"/>
      <c r="V934" s="62"/>
      <c r="W934" s="62"/>
      <c r="X934" s="62"/>
      <c r="Y934" s="43"/>
      <c r="Z934" s="43"/>
      <c r="AA934" s="43"/>
      <c r="AB934" s="43"/>
      <c r="AC934" s="43"/>
      <c r="AD934" s="43"/>
    </row>
    <row r="935">
      <c r="A935" s="43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4"/>
      <c r="P935" s="62"/>
      <c r="Q935" s="62"/>
      <c r="R935" s="62"/>
      <c r="S935" s="62"/>
      <c r="T935" s="62"/>
      <c r="U935" s="62"/>
      <c r="V935" s="62"/>
      <c r="W935" s="62"/>
      <c r="X935" s="62"/>
      <c r="Y935" s="43"/>
      <c r="Z935" s="43"/>
      <c r="AA935" s="43"/>
      <c r="AB935" s="43"/>
      <c r="AC935" s="43"/>
      <c r="AD935" s="43"/>
    </row>
    <row r="936">
      <c r="A936" s="43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4"/>
      <c r="P936" s="62"/>
      <c r="Q936" s="62"/>
      <c r="R936" s="62"/>
      <c r="S936" s="62"/>
      <c r="T936" s="62"/>
      <c r="U936" s="62"/>
      <c r="V936" s="62"/>
      <c r="W936" s="62"/>
      <c r="X936" s="62"/>
      <c r="Y936" s="43"/>
      <c r="Z936" s="43"/>
      <c r="AA936" s="43"/>
      <c r="AB936" s="43"/>
      <c r="AC936" s="43"/>
      <c r="AD936" s="43"/>
    </row>
    <row r="937">
      <c r="A937" s="43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4"/>
      <c r="P937" s="62"/>
      <c r="Q937" s="62"/>
      <c r="R937" s="62"/>
      <c r="S937" s="62"/>
      <c r="T937" s="62"/>
      <c r="U937" s="62"/>
      <c r="V937" s="62"/>
      <c r="W937" s="62"/>
      <c r="X937" s="62"/>
      <c r="Y937" s="43"/>
      <c r="Z937" s="43"/>
      <c r="AA937" s="43"/>
      <c r="AB937" s="43"/>
      <c r="AC937" s="43"/>
      <c r="AD937" s="43"/>
    </row>
    <row r="938">
      <c r="A938" s="43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4"/>
      <c r="P938" s="62"/>
      <c r="Q938" s="62"/>
      <c r="R938" s="62"/>
      <c r="S938" s="62"/>
      <c r="T938" s="62"/>
      <c r="U938" s="62"/>
      <c r="V938" s="62"/>
      <c r="W938" s="62"/>
      <c r="X938" s="62"/>
      <c r="Y938" s="43"/>
      <c r="Z938" s="43"/>
      <c r="AA938" s="43"/>
      <c r="AB938" s="43"/>
      <c r="AC938" s="43"/>
      <c r="AD938" s="43"/>
    </row>
    <row r="939">
      <c r="A939" s="43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4"/>
      <c r="P939" s="62"/>
      <c r="Q939" s="62"/>
      <c r="R939" s="62"/>
      <c r="S939" s="62"/>
      <c r="T939" s="62"/>
      <c r="U939" s="62"/>
      <c r="V939" s="62"/>
      <c r="W939" s="62"/>
      <c r="X939" s="62"/>
      <c r="Y939" s="43"/>
      <c r="Z939" s="43"/>
      <c r="AA939" s="43"/>
      <c r="AB939" s="43"/>
      <c r="AC939" s="43"/>
      <c r="AD939" s="43"/>
    </row>
    <row r="940">
      <c r="A940" s="43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4"/>
      <c r="P940" s="62"/>
      <c r="Q940" s="62"/>
      <c r="R940" s="62"/>
      <c r="S940" s="62"/>
      <c r="T940" s="62"/>
      <c r="U940" s="62"/>
      <c r="V940" s="62"/>
      <c r="W940" s="62"/>
      <c r="X940" s="62"/>
      <c r="Y940" s="43"/>
      <c r="Z940" s="43"/>
      <c r="AA940" s="43"/>
      <c r="AB940" s="43"/>
      <c r="AC940" s="43"/>
      <c r="AD940" s="43"/>
    </row>
    <row r="941">
      <c r="A941" s="43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4"/>
      <c r="P941" s="62"/>
      <c r="Q941" s="62"/>
      <c r="R941" s="62"/>
      <c r="S941" s="62"/>
      <c r="T941" s="62"/>
      <c r="U941" s="62"/>
      <c r="V941" s="62"/>
      <c r="W941" s="62"/>
      <c r="X941" s="62"/>
      <c r="Y941" s="43"/>
      <c r="Z941" s="43"/>
      <c r="AA941" s="43"/>
      <c r="AB941" s="43"/>
      <c r="AC941" s="43"/>
      <c r="AD941" s="43"/>
    </row>
    <row r="942">
      <c r="A942" s="43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4"/>
      <c r="P942" s="62"/>
      <c r="Q942" s="62"/>
      <c r="R942" s="62"/>
      <c r="S942" s="62"/>
      <c r="T942" s="62"/>
      <c r="U942" s="62"/>
      <c r="V942" s="62"/>
      <c r="W942" s="62"/>
      <c r="X942" s="62"/>
      <c r="Y942" s="43"/>
      <c r="Z942" s="43"/>
      <c r="AA942" s="43"/>
      <c r="AB942" s="43"/>
      <c r="AC942" s="43"/>
      <c r="AD942" s="43"/>
    </row>
    <row r="943">
      <c r="A943" s="43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4"/>
      <c r="P943" s="62"/>
      <c r="Q943" s="62"/>
      <c r="R943" s="62"/>
      <c r="S943" s="62"/>
      <c r="T943" s="62"/>
      <c r="U943" s="62"/>
      <c r="V943" s="62"/>
      <c r="W943" s="62"/>
      <c r="X943" s="62"/>
      <c r="Y943" s="43"/>
      <c r="Z943" s="43"/>
      <c r="AA943" s="43"/>
      <c r="AB943" s="43"/>
      <c r="AC943" s="43"/>
      <c r="AD943" s="43"/>
    </row>
    <row r="944">
      <c r="A944" s="43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4"/>
      <c r="P944" s="62"/>
      <c r="Q944" s="62"/>
      <c r="R944" s="62"/>
      <c r="S944" s="62"/>
      <c r="T944" s="62"/>
      <c r="U944" s="62"/>
      <c r="V944" s="62"/>
      <c r="W944" s="62"/>
      <c r="X944" s="62"/>
      <c r="Y944" s="43"/>
      <c r="Z944" s="43"/>
      <c r="AA944" s="43"/>
      <c r="AB944" s="43"/>
      <c r="AC944" s="43"/>
      <c r="AD944" s="43"/>
    </row>
    <row r="945">
      <c r="A945" s="43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4"/>
      <c r="P945" s="62"/>
      <c r="Q945" s="62"/>
      <c r="R945" s="62"/>
      <c r="S945" s="62"/>
      <c r="T945" s="62"/>
      <c r="U945" s="62"/>
      <c r="V945" s="62"/>
      <c r="W945" s="62"/>
      <c r="X945" s="62"/>
      <c r="Y945" s="43"/>
      <c r="Z945" s="43"/>
      <c r="AA945" s="43"/>
      <c r="AB945" s="43"/>
      <c r="AC945" s="43"/>
      <c r="AD945" s="43"/>
    </row>
    <row r="946">
      <c r="A946" s="43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4"/>
      <c r="P946" s="62"/>
      <c r="Q946" s="62"/>
      <c r="R946" s="62"/>
      <c r="S946" s="62"/>
      <c r="T946" s="62"/>
      <c r="U946" s="62"/>
      <c r="V946" s="62"/>
      <c r="W946" s="62"/>
      <c r="X946" s="62"/>
      <c r="Y946" s="43"/>
      <c r="Z946" s="43"/>
      <c r="AA946" s="43"/>
      <c r="AB946" s="43"/>
      <c r="AC946" s="43"/>
      <c r="AD946" s="43"/>
    </row>
    <row r="947">
      <c r="A947" s="43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4"/>
      <c r="P947" s="62"/>
      <c r="Q947" s="62"/>
      <c r="R947" s="62"/>
      <c r="S947" s="62"/>
      <c r="T947" s="62"/>
      <c r="U947" s="62"/>
      <c r="V947" s="62"/>
      <c r="W947" s="62"/>
      <c r="X947" s="62"/>
      <c r="Y947" s="43"/>
      <c r="Z947" s="43"/>
      <c r="AA947" s="43"/>
      <c r="AB947" s="43"/>
      <c r="AC947" s="43"/>
      <c r="AD947" s="43"/>
    </row>
    <row r="948">
      <c r="A948" s="43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4"/>
      <c r="P948" s="62"/>
      <c r="Q948" s="62"/>
      <c r="R948" s="62"/>
      <c r="S948" s="62"/>
      <c r="T948" s="62"/>
      <c r="U948" s="62"/>
      <c r="V948" s="62"/>
      <c r="W948" s="62"/>
      <c r="X948" s="62"/>
      <c r="Y948" s="43"/>
      <c r="Z948" s="43"/>
      <c r="AA948" s="43"/>
      <c r="AB948" s="43"/>
      <c r="AC948" s="43"/>
      <c r="AD948" s="43"/>
    </row>
    <row r="949">
      <c r="A949" s="43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4"/>
      <c r="P949" s="62"/>
      <c r="Q949" s="62"/>
      <c r="R949" s="62"/>
      <c r="S949" s="62"/>
      <c r="T949" s="62"/>
      <c r="U949" s="62"/>
      <c r="V949" s="62"/>
      <c r="W949" s="62"/>
      <c r="X949" s="62"/>
      <c r="Y949" s="43"/>
      <c r="Z949" s="43"/>
      <c r="AA949" s="43"/>
      <c r="AB949" s="43"/>
      <c r="AC949" s="43"/>
      <c r="AD949" s="43"/>
    </row>
    <row r="950">
      <c r="A950" s="43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4"/>
      <c r="P950" s="62"/>
      <c r="Q950" s="62"/>
      <c r="R950" s="62"/>
      <c r="S950" s="62"/>
      <c r="T950" s="62"/>
      <c r="U950" s="62"/>
      <c r="V950" s="62"/>
      <c r="W950" s="62"/>
      <c r="X950" s="62"/>
      <c r="Y950" s="43"/>
      <c r="Z950" s="43"/>
      <c r="AA950" s="43"/>
      <c r="AB950" s="43"/>
      <c r="AC950" s="43"/>
      <c r="AD950" s="43"/>
    </row>
    <row r="951">
      <c r="A951" s="43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4"/>
      <c r="P951" s="62"/>
      <c r="Q951" s="62"/>
      <c r="R951" s="62"/>
      <c r="S951" s="62"/>
      <c r="T951" s="62"/>
      <c r="U951" s="62"/>
      <c r="V951" s="62"/>
      <c r="W951" s="62"/>
      <c r="X951" s="62"/>
      <c r="Y951" s="43"/>
      <c r="Z951" s="43"/>
      <c r="AA951" s="43"/>
      <c r="AB951" s="43"/>
      <c r="AC951" s="43"/>
      <c r="AD951" s="43"/>
    </row>
    <row r="952">
      <c r="A952" s="43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4"/>
      <c r="P952" s="62"/>
      <c r="Q952" s="62"/>
      <c r="R952" s="62"/>
      <c r="S952" s="62"/>
      <c r="T952" s="62"/>
      <c r="U952" s="62"/>
      <c r="V952" s="62"/>
      <c r="W952" s="62"/>
      <c r="X952" s="62"/>
      <c r="Y952" s="43"/>
      <c r="Z952" s="43"/>
      <c r="AA952" s="43"/>
      <c r="AB952" s="43"/>
      <c r="AC952" s="43"/>
      <c r="AD952" s="43"/>
    </row>
    <row r="953">
      <c r="A953" s="43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4"/>
      <c r="P953" s="62"/>
      <c r="Q953" s="62"/>
      <c r="R953" s="62"/>
      <c r="S953" s="62"/>
      <c r="T953" s="62"/>
      <c r="U953" s="62"/>
      <c r="V953" s="62"/>
      <c r="W953" s="62"/>
      <c r="X953" s="62"/>
      <c r="Y953" s="43"/>
      <c r="Z953" s="43"/>
      <c r="AA953" s="43"/>
      <c r="AB953" s="43"/>
      <c r="AC953" s="43"/>
      <c r="AD953" s="43"/>
    </row>
    <row r="954">
      <c r="A954" s="43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4"/>
      <c r="P954" s="62"/>
      <c r="Q954" s="62"/>
      <c r="R954" s="62"/>
      <c r="S954" s="62"/>
      <c r="T954" s="62"/>
      <c r="U954" s="62"/>
      <c r="V954" s="62"/>
      <c r="W954" s="62"/>
      <c r="X954" s="62"/>
      <c r="Y954" s="43"/>
      <c r="Z954" s="43"/>
      <c r="AA954" s="43"/>
      <c r="AB954" s="43"/>
      <c r="AC954" s="43"/>
      <c r="AD954" s="43"/>
    </row>
    <row r="955">
      <c r="A955" s="43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4"/>
      <c r="P955" s="62"/>
      <c r="Q955" s="62"/>
      <c r="R955" s="62"/>
      <c r="S955" s="62"/>
      <c r="T955" s="62"/>
      <c r="U955" s="62"/>
      <c r="V955" s="62"/>
      <c r="W955" s="62"/>
      <c r="X955" s="62"/>
      <c r="Y955" s="43"/>
      <c r="Z955" s="43"/>
      <c r="AA955" s="43"/>
      <c r="AB955" s="43"/>
      <c r="AC955" s="43"/>
      <c r="AD955" s="43"/>
    </row>
    <row r="956">
      <c r="A956" s="43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4"/>
      <c r="P956" s="62"/>
      <c r="Q956" s="62"/>
      <c r="R956" s="62"/>
      <c r="S956" s="62"/>
      <c r="T956" s="62"/>
      <c r="U956" s="62"/>
      <c r="V956" s="62"/>
      <c r="W956" s="62"/>
      <c r="X956" s="62"/>
      <c r="Y956" s="43"/>
      <c r="Z956" s="43"/>
      <c r="AA956" s="43"/>
      <c r="AB956" s="43"/>
      <c r="AC956" s="43"/>
      <c r="AD956" s="43"/>
    </row>
    <row r="957">
      <c r="A957" s="43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4"/>
      <c r="P957" s="62"/>
      <c r="Q957" s="62"/>
      <c r="R957" s="62"/>
      <c r="S957" s="62"/>
      <c r="T957" s="62"/>
      <c r="U957" s="62"/>
      <c r="V957" s="62"/>
      <c r="W957" s="62"/>
      <c r="X957" s="62"/>
      <c r="Y957" s="43"/>
      <c r="Z957" s="43"/>
      <c r="AA957" s="43"/>
      <c r="AB957" s="43"/>
      <c r="AC957" s="43"/>
      <c r="AD957" s="43"/>
    </row>
    <row r="958">
      <c r="A958" s="43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4"/>
      <c r="P958" s="62"/>
      <c r="Q958" s="62"/>
      <c r="R958" s="62"/>
      <c r="S958" s="62"/>
      <c r="T958" s="62"/>
      <c r="U958" s="62"/>
      <c r="V958" s="62"/>
      <c r="W958" s="62"/>
      <c r="X958" s="62"/>
      <c r="Y958" s="43"/>
      <c r="Z958" s="43"/>
      <c r="AA958" s="43"/>
      <c r="AB958" s="43"/>
      <c r="AC958" s="43"/>
      <c r="AD958" s="43"/>
    </row>
    <row r="959">
      <c r="A959" s="43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4"/>
      <c r="P959" s="62"/>
      <c r="Q959" s="62"/>
      <c r="R959" s="62"/>
      <c r="S959" s="62"/>
      <c r="T959" s="62"/>
      <c r="U959" s="62"/>
      <c r="V959" s="62"/>
      <c r="W959" s="62"/>
      <c r="X959" s="62"/>
      <c r="Y959" s="43"/>
      <c r="Z959" s="43"/>
      <c r="AA959" s="43"/>
      <c r="AB959" s="43"/>
      <c r="AC959" s="43"/>
      <c r="AD959" s="43"/>
    </row>
    <row r="960">
      <c r="A960" s="43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4"/>
      <c r="P960" s="62"/>
      <c r="Q960" s="62"/>
      <c r="R960" s="62"/>
      <c r="S960" s="62"/>
      <c r="T960" s="62"/>
      <c r="U960" s="62"/>
      <c r="V960" s="62"/>
      <c r="W960" s="62"/>
      <c r="X960" s="62"/>
      <c r="Y960" s="43"/>
      <c r="Z960" s="43"/>
      <c r="AA960" s="43"/>
      <c r="AB960" s="43"/>
      <c r="AC960" s="43"/>
      <c r="AD960" s="43"/>
    </row>
    <row r="961">
      <c r="A961" s="43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4"/>
      <c r="P961" s="62"/>
      <c r="Q961" s="62"/>
      <c r="R961" s="62"/>
      <c r="S961" s="62"/>
      <c r="T961" s="62"/>
      <c r="U961" s="62"/>
      <c r="V961" s="62"/>
      <c r="W961" s="62"/>
      <c r="X961" s="62"/>
      <c r="Y961" s="43"/>
      <c r="Z961" s="43"/>
      <c r="AA961" s="43"/>
      <c r="AB961" s="43"/>
      <c r="AC961" s="43"/>
      <c r="AD961" s="43"/>
    </row>
    <row r="962">
      <c r="A962" s="43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4"/>
      <c r="P962" s="62"/>
      <c r="Q962" s="62"/>
      <c r="R962" s="62"/>
      <c r="S962" s="62"/>
      <c r="T962" s="62"/>
      <c r="U962" s="62"/>
      <c r="V962" s="62"/>
      <c r="W962" s="62"/>
      <c r="X962" s="62"/>
      <c r="Y962" s="43"/>
      <c r="Z962" s="43"/>
      <c r="AA962" s="43"/>
      <c r="AB962" s="43"/>
      <c r="AC962" s="43"/>
      <c r="AD962" s="43"/>
    </row>
    <row r="963">
      <c r="A963" s="43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4"/>
      <c r="P963" s="62"/>
      <c r="Q963" s="62"/>
      <c r="R963" s="62"/>
      <c r="S963" s="62"/>
      <c r="T963" s="62"/>
      <c r="U963" s="62"/>
      <c r="V963" s="62"/>
      <c r="W963" s="62"/>
      <c r="X963" s="62"/>
      <c r="Y963" s="43"/>
      <c r="Z963" s="43"/>
      <c r="AA963" s="43"/>
      <c r="AB963" s="43"/>
      <c r="AC963" s="43"/>
      <c r="AD963" s="43"/>
    </row>
    <row r="964">
      <c r="A964" s="43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4"/>
      <c r="P964" s="62"/>
      <c r="Q964" s="62"/>
      <c r="R964" s="62"/>
      <c r="S964" s="62"/>
      <c r="T964" s="62"/>
      <c r="U964" s="62"/>
      <c r="V964" s="62"/>
      <c r="W964" s="62"/>
      <c r="X964" s="62"/>
      <c r="Y964" s="43"/>
      <c r="Z964" s="43"/>
      <c r="AA964" s="43"/>
      <c r="AB964" s="43"/>
      <c r="AC964" s="43"/>
      <c r="AD964" s="43"/>
    </row>
    <row r="965">
      <c r="A965" s="43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4"/>
      <c r="P965" s="62"/>
      <c r="Q965" s="62"/>
      <c r="R965" s="62"/>
      <c r="S965" s="62"/>
      <c r="T965" s="62"/>
      <c r="U965" s="62"/>
      <c r="V965" s="62"/>
      <c r="W965" s="62"/>
      <c r="X965" s="62"/>
      <c r="Y965" s="43"/>
      <c r="Z965" s="43"/>
      <c r="AA965" s="43"/>
      <c r="AB965" s="43"/>
      <c r="AC965" s="43"/>
      <c r="AD965" s="43"/>
    </row>
    <row r="966">
      <c r="A966" s="43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4"/>
      <c r="P966" s="62"/>
      <c r="Q966" s="62"/>
      <c r="R966" s="62"/>
      <c r="S966" s="62"/>
      <c r="T966" s="62"/>
      <c r="U966" s="62"/>
      <c r="V966" s="62"/>
      <c r="W966" s="62"/>
      <c r="X966" s="62"/>
      <c r="Y966" s="43"/>
      <c r="Z966" s="43"/>
      <c r="AA966" s="43"/>
      <c r="AB966" s="43"/>
      <c r="AC966" s="43"/>
      <c r="AD966" s="43"/>
    </row>
    <row r="967">
      <c r="A967" s="43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4"/>
      <c r="P967" s="62"/>
      <c r="Q967" s="62"/>
      <c r="R967" s="62"/>
      <c r="S967" s="62"/>
      <c r="T967" s="62"/>
      <c r="U967" s="62"/>
      <c r="V967" s="62"/>
      <c r="W967" s="62"/>
      <c r="X967" s="62"/>
      <c r="Y967" s="43"/>
      <c r="Z967" s="43"/>
      <c r="AA967" s="43"/>
      <c r="AB967" s="43"/>
      <c r="AC967" s="43"/>
      <c r="AD967" s="43"/>
    </row>
    <row r="968">
      <c r="A968" s="43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4"/>
      <c r="P968" s="62"/>
      <c r="Q968" s="62"/>
      <c r="R968" s="62"/>
      <c r="S968" s="62"/>
      <c r="T968" s="62"/>
      <c r="U968" s="62"/>
      <c r="V968" s="62"/>
      <c r="W968" s="62"/>
      <c r="X968" s="62"/>
      <c r="Y968" s="43"/>
      <c r="Z968" s="43"/>
      <c r="AA968" s="43"/>
      <c r="AB968" s="43"/>
      <c r="AC968" s="43"/>
      <c r="AD968" s="43"/>
    </row>
    <row r="969">
      <c r="A969" s="43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4"/>
      <c r="P969" s="62"/>
      <c r="Q969" s="62"/>
      <c r="R969" s="62"/>
      <c r="S969" s="62"/>
      <c r="T969" s="62"/>
      <c r="U969" s="62"/>
      <c r="V969" s="62"/>
      <c r="W969" s="62"/>
      <c r="X969" s="62"/>
      <c r="Y969" s="43"/>
      <c r="Z969" s="43"/>
      <c r="AA969" s="43"/>
      <c r="AB969" s="43"/>
      <c r="AC969" s="43"/>
      <c r="AD969" s="43"/>
    </row>
    <row r="970">
      <c r="A970" s="43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4"/>
      <c r="P970" s="62"/>
      <c r="Q970" s="62"/>
      <c r="R970" s="62"/>
      <c r="S970" s="62"/>
      <c r="T970" s="62"/>
      <c r="U970" s="62"/>
      <c r="V970" s="62"/>
      <c r="W970" s="62"/>
      <c r="X970" s="62"/>
      <c r="Y970" s="43"/>
      <c r="Z970" s="43"/>
      <c r="AA970" s="43"/>
      <c r="AB970" s="43"/>
      <c r="AC970" s="43"/>
      <c r="AD970" s="43"/>
    </row>
    <row r="971">
      <c r="A971" s="43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4"/>
      <c r="P971" s="62"/>
      <c r="Q971" s="62"/>
      <c r="R971" s="62"/>
      <c r="S971" s="62"/>
      <c r="T971" s="62"/>
      <c r="U971" s="62"/>
      <c r="V971" s="62"/>
      <c r="W971" s="62"/>
      <c r="X971" s="62"/>
      <c r="Y971" s="43"/>
      <c r="Z971" s="43"/>
      <c r="AA971" s="43"/>
      <c r="AB971" s="43"/>
      <c r="AC971" s="43"/>
      <c r="AD971" s="43"/>
    </row>
    <row r="972">
      <c r="A972" s="43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4"/>
      <c r="P972" s="62"/>
      <c r="Q972" s="62"/>
      <c r="R972" s="62"/>
      <c r="S972" s="62"/>
      <c r="T972" s="62"/>
      <c r="U972" s="62"/>
      <c r="V972" s="62"/>
      <c r="W972" s="62"/>
      <c r="X972" s="62"/>
      <c r="Y972" s="43"/>
      <c r="Z972" s="43"/>
      <c r="AA972" s="43"/>
      <c r="AB972" s="43"/>
      <c r="AC972" s="43"/>
      <c r="AD972" s="43"/>
    </row>
    <row r="973">
      <c r="A973" s="43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4"/>
      <c r="P973" s="62"/>
      <c r="Q973" s="62"/>
      <c r="R973" s="62"/>
      <c r="S973" s="62"/>
      <c r="T973" s="62"/>
      <c r="U973" s="62"/>
      <c r="V973" s="62"/>
      <c r="W973" s="62"/>
      <c r="X973" s="62"/>
      <c r="Y973" s="43"/>
      <c r="Z973" s="43"/>
      <c r="AA973" s="43"/>
      <c r="AB973" s="43"/>
      <c r="AC973" s="43"/>
      <c r="AD973" s="43"/>
    </row>
    <row r="974">
      <c r="A974" s="43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4"/>
      <c r="P974" s="62"/>
      <c r="Q974" s="62"/>
      <c r="R974" s="62"/>
      <c r="S974" s="62"/>
      <c r="T974" s="62"/>
      <c r="U974" s="62"/>
      <c r="V974" s="62"/>
      <c r="W974" s="62"/>
      <c r="X974" s="62"/>
      <c r="Y974" s="43"/>
      <c r="Z974" s="43"/>
      <c r="AA974" s="43"/>
      <c r="AB974" s="43"/>
      <c r="AC974" s="43"/>
      <c r="AD974" s="43"/>
    </row>
    <row r="975">
      <c r="A975" s="43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4"/>
      <c r="P975" s="62"/>
      <c r="Q975" s="62"/>
      <c r="R975" s="62"/>
      <c r="S975" s="62"/>
      <c r="T975" s="62"/>
      <c r="U975" s="62"/>
      <c r="V975" s="62"/>
      <c r="W975" s="62"/>
      <c r="X975" s="62"/>
      <c r="Y975" s="43"/>
      <c r="Z975" s="43"/>
      <c r="AA975" s="43"/>
      <c r="AB975" s="43"/>
      <c r="AC975" s="43"/>
      <c r="AD975" s="43"/>
    </row>
    <row r="976">
      <c r="A976" s="43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4"/>
      <c r="P976" s="62"/>
      <c r="Q976" s="62"/>
      <c r="R976" s="62"/>
      <c r="S976" s="62"/>
      <c r="T976" s="62"/>
      <c r="U976" s="62"/>
      <c r="V976" s="62"/>
      <c r="W976" s="62"/>
      <c r="X976" s="62"/>
      <c r="Y976" s="43"/>
      <c r="Z976" s="43"/>
      <c r="AA976" s="43"/>
      <c r="AB976" s="43"/>
      <c r="AC976" s="43"/>
      <c r="AD976" s="43"/>
    </row>
    <row r="977">
      <c r="A977" s="43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4"/>
      <c r="P977" s="62"/>
      <c r="Q977" s="62"/>
      <c r="R977" s="62"/>
      <c r="S977" s="62"/>
      <c r="T977" s="62"/>
      <c r="U977" s="62"/>
      <c r="V977" s="62"/>
      <c r="W977" s="62"/>
      <c r="X977" s="62"/>
      <c r="Y977" s="43"/>
      <c r="Z977" s="43"/>
      <c r="AA977" s="43"/>
      <c r="AB977" s="43"/>
      <c r="AC977" s="43"/>
      <c r="AD977" s="43"/>
    </row>
    <row r="978">
      <c r="A978" s="43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4"/>
      <c r="P978" s="62"/>
      <c r="Q978" s="62"/>
      <c r="R978" s="62"/>
      <c r="S978" s="62"/>
      <c r="T978" s="62"/>
      <c r="U978" s="62"/>
      <c r="V978" s="62"/>
      <c r="W978" s="62"/>
      <c r="X978" s="62"/>
      <c r="Y978" s="43"/>
      <c r="Z978" s="43"/>
      <c r="AA978" s="43"/>
      <c r="AB978" s="43"/>
      <c r="AC978" s="43"/>
      <c r="AD978" s="43"/>
    </row>
    <row r="979">
      <c r="A979" s="43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4"/>
      <c r="P979" s="62"/>
      <c r="Q979" s="62"/>
      <c r="R979" s="62"/>
      <c r="S979" s="62"/>
      <c r="T979" s="62"/>
      <c r="U979" s="62"/>
      <c r="V979" s="62"/>
      <c r="W979" s="62"/>
      <c r="X979" s="62"/>
      <c r="Y979" s="43"/>
      <c r="Z979" s="43"/>
      <c r="AA979" s="43"/>
      <c r="AB979" s="43"/>
      <c r="AC979" s="43"/>
      <c r="AD979" s="43"/>
    </row>
    <row r="980">
      <c r="A980" s="43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4"/>
      <c r="P980" s="62"/>
      <c r="Q980" s="62"/>
      <c r="R980" s="62"/>
      <c r="S980" s="62"/>
      <c r="T980" s="62"/>
      <c r="U980" s="62"/>
      <c r="V980" s="62"/>
      <c r="W980" s="62"/>
      <c r="X980" s="62"/>
      <c r="Y980" s="43"/>
      <c r="Z980" s="43"/>
      <c r="AA980" s="43"/>
      <c r="AB980" s="43"/>
      <c r="AC980" s="43"/>
      <c r="AD980" s="43"/>
    </row>
    <row r="981">
      <c r="A981" s="43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4"/>
      <c r="P981" s="62"/>
      <c r="Q981" s="62"/>
      <c r="R981" s="62"/>
      <c r="S981" s="62"/>
      <c r="T981" s="62"/>
      <c r="U981" s="62"/>
      <c r="V981" s="62"/>
      <c r="W981" s="62"/>
      <c r="X981" s="62"/>
      <c r="Y981" s="43"/>
      <c r="Z981" s="43"/>
      <c r="AA981" s="43"/>
      <c r="AB981" s="43"/>
      <c r="AC981" s="43"/>
      <c r="AD981" s="43"/>
    </row>
    <row r="982">
      <c r="A982" s="43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4"/>
      <c r="P982" s="62"/>
      <c r="Q982" s="62"/>
      <c r="R982" s="62"/>
      <c r="S982" s="62"/>
      <c r="T982" s="62"/>
      <c r="U982" s="62"/>
      <c r="V982" s="62"/>
      <c r="W982" s="62"/>
      <c r="X982" s="62"/>
      <c r="Y982" s="43"/>
      <c r="Z982" s="43"/>
      <c r="AA982" s="43"/>
      <c r="AB982" s="43"/>
      <c r="AC982" s="43"/>
      <c r="AD982" s="43"/>
    </row>
    <row r="983">
      <c r="A983" s="43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4"/>
      <c r="P983" s="62"/>
      <c r="Q983" s="62"/>
      <c r="R983" s="62"/>
      <c r="S983" s="62"/>
      <c r="T983" s="62"/>
      <c r="U983" s="62"/>
      <c r="V983" s="62"/>
      <c r="W983" s="62"/>
      <c r="X983" s="62"/>
      <c r="Y983" s="43"/>
      <c r="Z983" s="43"/>
      <c r="AA983" s="43"/>
      <c r="AB983" s="43"/>
      <c r="AC983" s="43"/>
      <c r="AD983" s="43"/>
    </row>
    <row r="984">
      <c r="A984" s="43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4"/>
      <c r="P984" s="62"/>
      <c r="Q984" s="62"/>
      <c r="R984" s="62"/>
      <c r="S984" s="62"/>
      <c r="T984" s="62"/>
      <c r="U984" s="62"/>
      <c r="V984" s="62"/>
      <c r="W984" s="62"/>
      <c r="X984" s="62"/>
      <c r="Y984" s="43"/>
      <c r="Z984" s="43"/>
      <c r="AA984" s="43"/>
      <c r="AB984" s="43"/>
      <c r="AC984" s="43"/>
      <c r="AD984" s="43"/>
    </row>
    <row r="985">
      <c r="A985" s="43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4"/>
      <c r="P985" s="62"/>
      <c r="Q985" s="62"/>
      <c r="R985" s="62"/>
      <c r="S985" s="62"/>
      <c r="T985" s="62"/>
      <c r="U985" s="62"/>
      <c r="V985" s="62"/>
      <c r="W985" s="62"/>
      <c r="X985" s="62"/>
      <c r="Y985" s="43"/>
      <c r="Z985" s="43"/>
      <c r="AA985" s="43"/>
      <c r="AB985" s="43"/>
      <c r="AC985" s="43"/>
      <c r="AD985" s="43"/>
    </row>
    <row r="986">
      <c r="A986" s="43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4"/>
      <c r="P986" s="62"/>
      <c r="Q986" s="62"/>
      <c r="R986" s="62"/>
      <c r="S986" s="62"/>
      <c r="T986" s="62"/>
      <c r="U986" s="62"/>
      <c r="V986" s="62"/>
      <c r="W986" s="62"/>
      <c r="X986" s="62"/>
      <c r="Y986" s="43"/>
      <c r="Z986" s="43"/>
      <c r="AA986" s="43"/>
      <c r="AB986" s="43"/>
      <c r="AC986" s="43"/>
      <c r="AD986" s="43"/>
    </row>
    <row r="987">
      <c r="A987" s="43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4"/>
      <c r="P987" s="62"/>
      <c r="Q987" s="62"/>
      <c r="R987" s="62"/>
      <c r="S987" s="62"/>
      <c r="T987" s="62"/>
      <c r="U987" s="62"/>
      <c r="V987" s="62"/>
      <c r="W987" s="62"/>
      <c r="X987" s="62"/>
      <c r="Y987" s="43"/>
      <c r="Z987" s="43"/>
      <c r="AA987" s="43"/>
      <c r="AB987" s="43"/>
      <c r="AC987" s="43"/>
      <c r="AD987" s="43"/>
    </row>
    <row r="988">
      <c r="A988" s="43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4"/>
      <c r="P988" s="62"/>
      <c r="Q988" s="62"/>
      <c r="R988" s="62"/>
      <c r="S988" s="62"/>
      <c r="T988" s="62"/>
      <c r="U988" s="62"/>
      <c r="V988" s="62"/>
      <c r="W988" s="62"/>
      <c r="X988" s="62"/>
      <c r="Y988" s="43"/>
      <c r="Z988" s="43"/>
      <c r="AA988" s="43"/>
      <c r="AB988" s="43"/>
      <c r="AC988" s="43"/>
      <c r="AD988" s="43"/>
    </row>
    <row r="989">
      <c r="A989" s="43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4"/>
      <c r="P989" s="62"/>
      <c r="Q989" s="62"/>
      <c r="R989" s="62"/>
      <c r="S989" s="62"/>
      <c r="T989" s="62"/>
      <c r="U989" s="62"/>
      <c r="V989" s="62"/>
      <c r="W989" s="62"/>
      <c r="X989" s="62"/>
      <c r="Y989" s="43"/>
      <c r="Z989" s="43"/>
      <c r="AA989" s="43"/>
      <c r="AB989" s="43"/>
      <c r="AC989" s="43"/>
      <c r="AD989" s="43"/>
    </row>
    <row r="990">
      <c r="A990" s="43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4"/>
      <c r="P990" s="62"/>
      <c r="Q990" s="62"/>
      <c r="R990" s="62"/>
      <c r="S990" s="62"/>
      <c r="T990" s="62"/>
      <c r="U990" s="62"/>
      <c r="V990" s="62"/>
      <c r="W990" s="62"/>
      <c r="X990" s="62"/>
      <c r="Y990" s="43"/>
      <c r="Z990" s="43"/>
      <c r="AA990" s="43"/>
      <c r="AB990" s="43"/>
      <c r="AC990" s="43"/>
      <c r="AD990" s="43"/>
    </row>
    <row r="991">
      <c r="A991" s="43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4"/>
      <c r="P991" s="62"/>
      <c r="Q991" s="62"/>
      <c r="R991" s="62"/>
      <c r="S991" s="62"/>
      <c r="T991" s="62"/>
      <c r="U991" s="62"/>
      <c r="V991" s="62"/>
      <c r="W991" s="62"/>
      <c r="X991" s="62"/>
      <c r="Y991" s="43"/>
      <c r="Z991" s="43"/>
      <c r="AA991" s="43"/>
      <c r="AB991" s="43"/>
      <c r="AC991" s="43"/>
      <c r="AD991" s="43"/>
    </row>
    <row r="992">
      <c r="A992" s="43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4"/>
      <c r="P992" s="62"/>
      <c r="Q992" s="62"/>
      <c r="R992" s="62"/>
      <c r="S992" s="62"/>
      <c r="T992" s="62"/>
      <c r="U992" s="62"/>
      <c r="V992" s="62"/>
      <c r="W992" s="62"/>
      <c r="X992" s="62"/>
      <c r="Y992" s="43"/>
      <c r="Z992" s="43"/>
      <c r="AA992" s="43"/>
      <c r="AB992" s="43"/>
      <c r="AC992" s="43"/>
      <c r="AD992" s="43"/>
    </row>
    <row r="993">
      <c r="A993" s="43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4"/>
      <c r="P993" s="62"/>
      <c r="Q993" s="62"/>
      <c r="R993" s="62"/>
      <c r="S993" s="62"/>
      <c r="T993" s="62"/>
      <c r="U993" s="62"/>
      <c r="V993" s="62"/>
      <c r="W993" s="62"/>
      <c r="X993" s="62"/>
      <c r="Y993" s="43"/>
      <c r="Z993" s="43"/>
      <c r="AA993" s="43"/>
      <c r="AB993" s="43"/>
      <c r="AC993" s="43"/>
      <c r="AD993" s="43"/>
    </row>
    <row r="994">
      <c r="A994" s="43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4"/>
      <c r="P994" s="62"/>
      <c r="Q994" s="62"/>
      <c r="R994" s="62"/>
      <c r="S994" s="62"/>
      <c r="T994" s="62"/>
      <c r="U994" s="62"/>
      <c r="V994" s="62"/>
      <c r="W994" s="62"/>
      <c r="X994" s="62"/>
      <c r="Y994" s="43"/>
      <c r="Z994" s="43"/>
      <c r="AA994" s="43"/>
      <c r="AB994" s="43"/>
      <c r="AC994" s="43"/>
      <c r="AD994" s="43"/>
    </row>
    <row r="995">
      <c r="A995" s="43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4"/>
      <c r="P995" s="62"/>
      <c r="Q995" s="62"/>
      <c r="R995" s="62"/>
      <c r="S995" s="62"/>
      <c r="T995" s="62"/>
      <c r="U995" s="62"/>
      <c r="V995" s="62"/>
      <c r="W995" s="62"/>
      <c r="X995" s="62"/>
      <c r="Y995" s="43"/>
      <c r="Z995" s="43"/>
      <c r="AA995" s="43"/>
      <c r="AB995" s="43"/>
      <c r="AC995" s="43"/>
      <c r="AD995" s="43"/>
    </row>
    <row r="996">
      <c r="A996" s="43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4"/>
      <c r="P996" s="62"/>
      <c r="Q996" s="62"/>
      <c r="R996" s="62"/>
      <c r="S996" s="62"/>
      <c r="T996" s="62"/>
      <c r="U996" s="62"/>
      <c r="V996" s="62"/>
      <c r="W996" s="62"/>
      <c r="X996" s="62"/>
      <c r="Y996" s="43"/>
      <c r="Z996" s="43"/>
      <c r="AA996" s="43"/>
      <c r="AB996" s="43"/>
      <c r="AC996" s="43"/>
      <c r="AD996" s="43"/>
    </row>
    <row r="997">
      <c r="A997" s="43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4"/>
      <c r="P997" s="62"/>
      <c r="Q997" s="62"/>
      <c r="R997" s="62"/>
      <c r="S997" s="62"/>
      <c r="T997" s="62"/>
      <c r="U997" s="62"/>
      <c r="V997" s="62"/>
      <c r="W997" s="62"/>
      <c r="X997" s="62"/>
      <c r="Y997" s="43"/>
      <c r="Z997" s="43"/>
      <c r="AA997" s="43"/>
      <c r="AB997" s="43"/>
      <c r="AC997" s="43"/>
      <c r="AD997" s="43"/>
    </row>
    <row r="998">
      <c r="A998" s="43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4"/>
      <c r="P998" s="62"/>
      <c r="Q998" s="62"/>
      <c r="R998" s="62"/>
      <c r="S998" s="62"/>
      <c r="T998" s="62"/>
      <c r="U998" s="62"/>
      <c r="V998" s="62"/>
      <c r="W998" s="62"/>
      <c r="X998" s="62"/>
      <c r="Y998" s="43"/>
      <c r="Z998" s="43"/>
      <c r="AA998" s="43"/>
      <c r="AB998" s="43"/>
      <c r="AC998" s="43"/>
      <c r="AD998" s="43"/>
    </row>
    <row r="999">
      <c r="A999" s="43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4"/>
      <c r="P999" s="62"/>
      <c r="Q999" s="62"/>
      <c r="R999" s="62"/>
      <c r="S999" s="62"/>
      <c r="T999" s="62"/>
      <c r="U999" s="62"/>
      <c r="V999" s="62"/>
      <c r="W999" s="62"/>
      <c r="X999" s="62"/>
      <c r="Y999" s="43"/>
      <c r="Z999" s="43"/>
      <c r="AA999" s="43"/>
      <c r="AB999" s="43"/>
      <c r="AC999" s="43"/>
      <c r="AD999" s="43"/>
    </row>
    <row r="1000">
      <c r="A1000" s="43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4"/>
      <c r="P1000" s="62"/>
      <c r="Q1000" s="62"/>
      <c r="R1000" s="62"/>
      <c r="S1000" s="62"/>
      <c r="T1000" s="62"/>
      <c r="U1000" s="62"/>
      <c r="V1000" s="62"/>
      <c r="W1000" s="62"/>
      <c r="X1000" s="62"/>
      <c r="Y1000" s="43"/>
      <c r="Z1000" s="43"/>
      <c r="AA1000" s="43"/>
      <c r="AB1000" s="43"/>
      <c r="AC1000" s="43"/>
      <c r="AD1000" s="43"/>
    </row>
    <row r="1001">
      <c r="A1001" s="43"/>
      <c r="B1001" s="62"/>
      <c r="C1001" s="62"/>
      <c r="D1001" s="62"/>
      <c r="E1001" s="62"/>
      <c r="F1001" s="62"/>
      <c r="G1001" s="62"/>
      <c r="H1001" s="62"/>
      <c r="I1001" s="62"/>
      <c r="J1001" s="62"/>
      <c r="K1001" s="62"/>
      <c r="L1001" s="62"/>
      <c r="M1001" s="62"/>
      <c r="N1001" s="62"/>
      <c r="O1001" s="64"/>
      <c r="P1001" s="62"/>
      <c r="Q1001" s="62"/>
      <c r="R1001" s="62"/>
      <c r="S1001" s="62"/>
      <c r="T1001" s="62"/>
      <c r="U1001" s="62"/>
      <c r="V1001" s="62"/>
      <c r="W1001" s="62"/>
      <c r="X1001" s="62"/>
      <c r="Y1001" s="43"/>
      <c r="Z1001" s="43"/>
      <c r="AA1001" s="43"/>
      <c r="AB1001" s="43"/>
      <c r="AC1001" s="43"/>
      <c r="AD1001" s="43"/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 ht="72.0" customHeight="1">
      <c r="A1" s="2"/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4" t="s">
        <v>7</v>
      </c>
      <c r="I1" s="2" t="s">
        <v>8</v>
      </c>
      <c r="J1" s="4" t="s">
        <v>9</v>
      </c>
      <c r="K1" s="5" t="s">
        <v>10</v>
      </c>
      <c r="L1" s="3" t="s">
        <v>11</v>
      </c>
      <c r="M1" s="6" t="s">
        <v>12</v>
      </c>
      <c r="N1" s="39" t="s">
        <v>13</v>
      </c>
      <c r="O1" s="40" t="s">
        <v>14</v>
      </c>
      <c r="P1" s="6" t="s">
        <v>15</v>
      </c>
      <c r="Q1" s="41" t="s">
        <v>16</v>
      </c>
      <c r="R1" s="8" t="s">
        <v>17</v>
      </c>
      <c r="S1" s="7" t="s">
        <v>18</v>
      </c>
      <c r="T1" s="9" t="s">
        <v>19</v>
      </c>
      <c r="U1" s="10" t="s">
        <v>20</v>
      </c>
      <c r="V1" s="7" t="s">
        <v>21</v>
      </c>
      <c r="W1" s="7" t="s">
        <v>22</v>
      </c>
      <c r="X1" s="7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43"/>
    </row>
    <row r="2">
      <c r="A2" s="42" t="s">
        <v>323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4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</row>
    <row r="3">
      <c r="A3" s="42" t="s">
        <v>30</v>
      </c>
      <c r="B3" s="43"/>
      <c r="C3" s="43"/>
      <c r="D3" s="45">
        <f>VLOOKUP(VALUE(LEFT(A3, 4)), 'Raw Annual Revenue'!A:D, 4, FALSE) / 4
</f>
        <v>685.5</v>
      </c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  <c r="P3" s="43"/>
      <c r="Q3" s="43"/>
      <c r="R3" s="43"/>
      <c r="S3" s="43"/>
      <c r="T3" s="43"/>
      <c r="U3" s="43"/>
      <c r="V3" s="43"/>
      <c r="W3" s="45">
        <f>VLOOKUP(VALUE(LEFT($A3, 4)), 'Raw Annual Revenue'!$A:W, 23, FALSE) / 4
</f>
        <v>2321.75</v>
      </c>
      <c r="X3" s="45">
        <f>VLOOKUP(VALUE(LEFT($A5, 4)), 'Raw Annual Revenue'!$A:X, 24, FALSE) / 4
</f>
        <v>229681.25</v>
      </c>
      <c r="Y3" s="45"/>
      <c r="Z3" s="45"/>
      <c r="AA3" s="45"/>
      <c r="AB3" s="45"/>
      <c r="AC3" s="45"/>
      <c r="AD3" s="43"/>
    </row>
    <row r="4">
      <c r="A4" s="42" t="s">
        <v>31</v>
      </c>
      <c r="B4" s="43"/>
      <c r="C4" s="43"/>
      <c r="D4" s="45">
        <f>VLOOKUP(VALUE(LEFT(A4, 4)), 'Raw Annual Revenue'!A:D, 4, FALSE) / 4
</f>
        <v>685.5</v>
      </c>
      <c r="E4" s="43"/>
      <c r="F4" s="43"/>
      <c r="G4" s="43"/>
      <c r="H4" s="43"/>
      <c r="I4" s="43"/>
      <c r="J4" s="43"/>
      <c r="K4" s="43"/>
      <c r="L4" s="43"/>
      <c r="M4" s="43"/>
      <c r="N4" s="43"/>
      <c r="O4" s="44"/>
      <c r="P4" s="43"/>
      <c r="Q4" s="43"/>
      <c r="R4" s="43"/>
      <c r="S4" s="43"/>
      <c r="T4" s="43"/>
      <c r="U4" s="43"/>
      <c r="V4" s="43"/>
      <c r="W4" s="45">
        <f>VLOOKUP(VALUE(LEFT($A4, 4)), 'Raw Annual Revenue'!$A:W, 23, FALSE) / 4
</f>
        <v>2321.75</v>
      </c>
      <c r="X4" s="45">
        <f>VLOOKUP(VALUE(LEFT($A6, 4)), 'Raw Annual Revenue'!$A:X, 24, FALSE) / 4
</f>
        <v>229681.25</v>
      </c>
      <c r="Y4" s="43"/>
      <c r="Z4" s="43"/>
      <c r="AA4" s="43"/>
      <c r="AB4" s="43"/>
      <c r="AC4" s="43"/>
      <c r="AD4" s="43"/>
    </row>
    <row r="5">
      <c r="A5" s="42" t="s">
        <v>32</v>
      </c>
      <c r="B5" s="43"/>
      <c r="C5" s="43"/>
      <c r="D5" s="45">
        <f>VLOOKUP(VALUE(LEFT(A5, 4)), 'Raw Annual Revenue'!A:D, 4, FALSE) / 4
</f>
        <v>685.5</v>
      </c>
      <c r="E5" s="43"/>
      <c r="F5" s="43"/>
      <c r="G5" s="43"/>
      <c r="H5" s="43"/>
      <c r="I5" s="43"/>
      <c r="J5" s="43"/>
      <c r="K5" s="43"/>
      <c r="L5" s="43"/>
      <c r="M5" s="43"/>
      <c r="N5" s="43"/>
      <c r="O5" s="44"/>
      <c r="P5" s="43"/>
      <c r="Q5" s="43"/>
      <c r="R5" s="43"/>
      <c r="S5" s="43"/>
      <c r="T5" s="43"/>
      <c r="U5" s="43"/>
      <c r="V5" s="43"/>
      <c r="W5" s="45">
        <f>VLOOKUP(VALUE(LEFT($A5, 4)), 'Raw Annual Revenue'!$A:W, 23, FALSE) / 4
</f>
        <v>2321.75</v>
      </c>
      <c r="X5" s="45">
        <f>VLOOKUP(VALUE(LEFT($A7, 4)), 'Raw Annual Revenue'!$A:X, 24, FALSE) / 4
</f>
        <v>231376</v>
      </c>
      <c r="Y5" s="43"/>
      <c r="Z5" s="43"/>
      <c r="AA5" s="43"/>
      <c r="AB5" s="43"/>
      <c r="AC5" s="43"/>
      <c r="AD5" s="43"/>
    </row>
    <row r="6">
      <c r="A6" s="42" t="s">
        <v>33</v>
      </c>
      <c r="B6" s="43"/>
      <c r="C6" s="43"/>
      <c r="D6" s="45">
        <f>VLOOKUP(VALUE(LEFT(A6, 4)), 'Raw Annual Revenue'!A:D, 4, FALSE) / 4
</f>
        <v>685.5</v>
      </c>
      <c r="E6" s="43"/>
      <c r="F6" s="43"/>
      <c r="G6" s="43"/>
      <c r="H6" s="43"/>
      <c r="I6" s="43"/>
      <c r="J6" s="43"/>
      <c r="K6" s="43"/>
      <c r="L6" s="43"/>
      <c r="M6" s="43"/>
      <c r="N6" s="43"/>
      <c r="O6" s="44"/>
      <c r="P6" s="43"/>
      <c r="Q6" s="43"/>
      <c r="R6" s="43"/>
      <c r="S6" s="43"/>
      <c r="T6" s="43"/>
      <c r="U6" s="43"/>
      <c r="V6" s="43"/>
      <c r="W6" s="45">
        <f>VLOOKUP(VALUE(LEFT($A6, 4)), 'Raw Annual Revenue'!$A:W, 23, FALSE) / 4
</f>
        <v>2321.75</v>
      </c>
      <c r="X6" s="45">
        <f>VLOOKUP(VALUE(LEFT($A8, 4)), 'Raw Annual Revenue'!$A:X, 24, FALSE) / 4
</f>
        <v>231376</v>
      </c>
      <c r="Y6" s="43"/>
      <c r="Z6" s="43"/>
      <c r="AA6" s="43"/>
      <c r="AB6" s="43"/>
      <c r="AC6" s="43"/>
      <c r="AD6" s="43"/>
    </row>
    <row r="7">
      <c r="A7" s="42" t="s">
        <v>34</v>
      </c>
      <c r="B7" s="43"/>
      <c r="C7" s="45">
        <f>VLOOKUP(VALUE(LEFT(A7, 4)), 'Raw Annual Revenue'!A:C, 3, FALSE) / 4
</f>
        <v>8809.25</v>
      </c>
      <c r="D7" s="45">
        <f>VLOOKUP(VALUE(LEFT(A7, 4)), 'Raw Annual Revenue'!A:D, 4, FALSE) / 4
</f>
        <v>3456.75</v>
      </c>
      <c r="E7" s="43"/>
      <c r="F7" s="43"/>
      <c r="G7" s="43"/>
      <c r="H7" s="43"/>
      <c r="I7" s="43"/>
      <c r="J7" s="43"/>
      <c r="K7" s="43"/>
      <c r="L7" s="43"/>
      <c r="M7" s="43"/>
      <c r="N7" s="43"/>
      <c r="O7" s="44"/>
      <c r="P7" s="43"/>
      <c r="Q7" s="43"/>
      <c r="R7" s="43"/>
      <c r="S7" s="43"/>
      <c r="T7" s="43"/>
      <c r="U7" s="43"/>
      <c r="V7" s="43"/>
      <c r="W7" s="45">
        <f>VLOOKUP(VALUE(LEFT($A7, 4)), 'Raw Annual Revenue'!$A:W, 23, FALSE) / 4
</f>
        <v>5309.5</v>
      </c>
      <c r="X7" s="45">
        <f>VLOOKUP(VALUE(LEFT($A9, 4)), 'Raw Annual Revenue'!$A:X, 24, FALSE) / 4
</f>
        <v>231376</v>
      </c>
      <c r="Y7" s="43"/>
      <c r="Z7" s="43"/>
      <c r="AA7" s="43"/>
      <c r="AB7" s="43"/>
      <c r="AC7" s="43"/>
      <c r="AD7" s="43"/>
    </row>
    <row r="8">
      <c r="A8" s="42" t="s">
        <v>35</v>
      </c>
      <c r="B8" s="43"/>
      <c r="C8" s="45">
        <f>VLOOKUP(VALUE(LEFT(A8, 4)), 'Raw Annual Revenue'!A:C, 3, FALSE) / 4
</f>
        <v>8809.25</v>
      </c>
      <c r="D8" s="45">
        <f>VLOOKUP(VALUE(LEFT(A8, 4)), 'Raw Annual Revenue'!A:D, 4, FALSE) / 4
</f>
        <v>3456.75</v>
      </c>
      <c r="E8" s="43"/>
      <c r="F8" s="43"/>
      <c r="G8" s="43"/>
      <c r="H8" s="43"/>
      <c r="I8" s="43"/>
      <c r="J8" s="43"/>
      <c r="K8" s="43"/>
      <c r="L8" s="43"/>
      <c r="M8" s="43"/>
      <c r="N8" s="43"/>
      <c r="O8" s="44"/>
      <c r="P8" s="43"/>
      <c r="Q8" s="43"/>
      <c r="R8" s="43"/>
      <c r="S8" s="43"/>
      <c r="T8" s="43"/>
      <c r="U8" s="43"/>
      <c r="V8" s="43"/>
      <c r="W8" s="45">
        <f>VLOOKUP(VALUE(LEFT($A8, 4)), 'Raw Annual Revenue'!$A:W, 23, FALSE) / 4
</f>
        <v>5309.5</v>
      </c>
      <c r="X8" s="45">
        <f>VLOOKUP(VALUE(LEFT($A10, 4)), 'Raw Annual Revenue'!$A:X, 24, FALSE) / 4
</f>
        <v>231376</v>
      </c>
      <c r="Y8" s="43"/>
      <c r="Z8" s="43"/>
      <c r="AA8" s="43"/>
      <c r="AB8" s="43"/>
      <c r="AC8" s="43"/>
      <c r="AD8" s="43"/>
    </row>
    <row r="9">
      <c r="A9" s="42" t="s">
        <v>36</v>
      </c>
      <c r="B9" s="43"/>
      <c r="C9" s="45">
        <f>VLOOKUP(VALUE(LEFT(A9, 4)), 'Raw Annual Revenue'!A:C, 3, FALSE) / 4
</f>
        <v>8809.25</v>
      </c>
      <c r="D9" s="45">
        <f>VLOOKUP(VALUE(LEFT(A9, 4)), 'Raw Annual Revenue'!A:D, 4, FALSE) / 4
</f>
        <v>3456.75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4"/>
      <c r="P9" s="43"/>
      <c r="Q9" s="43"/>
      <c r="R9" s="43"/>
      <c r="S9" s="43"/>
      <c r="T9" s="43"/>
      <c r="U9" s="43"/>
      <c r="V9" s="43"/>
      <c r="W9" s="45">
        <f>VLOOKUP(VALUE(LEFT($A9, 4)), 'Raw Annual Revenue'!$A:W, 23, FALSE) / 4
</f>
        <v>5309.5</v>
      </c>
      <c r="X9" s="45">
        <f>VLOOKUP(VALUE(LEFT($A11, 4)), 'Raw Annual Revenue'!$A:X, 24, FALSE) / 4
</f>
        <v>302976.5</v>
      </c>
      <c r="Y9" s="43"/>
      <c r="Z9" s="43"/>
      <c r="AA9" s="43"/>
      <c r="AB9" s="43"/>
      <c r="AC9" s="43"/>
      <c r="AD9" s="43"/>
    </row>
    <row r="10">
      <c r="A10" s="42" t="s">
        <v>37</v>
      </c>
      <c r="B10" s="43"/>
      <c r="C10" s="45">
        <f>VLOOKUP(VALUE(LEFT(A10, 4)), 'Raw Annual Revenue'!A:C, 3, FALSE) / 4
</f>
        <v>8809.25</v>
      </c>
      <c r="D10" s="45">
        <f>VLOOKUP(VALUE(LEFT(A10, 4)), 'Raw Annual Revenue'!A:D, 4, FALSE) / 4
</f>
        <v>3456.75</v>
      </c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4"/>
      <c r="P10" s="43"/>
      <c r="Q10" s="43"/>
      <c r="R10" s="43"/>
      <c r="S10" s="43"/>
      <c r="T10" s="43"/>
      <c r="U10" s="43"/>
      <c r="V10" s="43"/>
      <c r="W10" s="45">
        <f>VLOOKUP(VALUE(LEFT($A10, 4)), 'Raw Annual Revenue'!$A:W, 23, FALSE) / 4
</f>
        <v>5309.5</v>
      </c>
      <c r="X10" s="45">
        <f>VLOOKUP(VALUE(LEFT($A12, 4)), 'Raw Annual Revenue'!$A:X, 24, FALSE) / 4
</f>
        <v>302976.5</v>
      </c>
      <c r="Y10" s="43"/>
      <c r="Z10" s="43"/>
      <c r="AA10" s="43"/>
      <c r="AB10" s="43"/>
      <c r="AC10" s="43"/>
      <c r="AD10" s="43"/>
    </row>
    <row r="11">
      <c r="A11" s="42" t="s">
        <v>38</v>
      </c>
      <c r="B11" s="43"/>
      <c r="C11" s="46">
        <f>VLOOKUP(VALUE(LEFT(A11, 4)), 'Raw Annual Revenue'!A:C, 3, FALSE) / 4
</f>
        <v>120602.5</v>
      </c>
      <c r="D11" s="46">
        <f>VLOOKUP(VALUE(LEFT(A11, 4)), 'Raw Annual Revenue'!A:D, 4, FALSE) / 4
</f>
        <v>9674.75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4"/>
      <c r="P11" s="43"/>
      <c r="Q11" s="43"/>
      <c r="R11" s="66"/>
      <c r="S11" s="45">
        <f>VLOOKUP(VALUE(LEFT($A11, 4)), 'Raw Annual Revenue'!$A:S, 19, FALSE) / 4</f>
        <v>48.75</v>
      </c>
      <c r="T11" s="43"/>
      <c r="U11" s="43"/>
      <c r="V11" s="43"/>
      <c r="W11" s="45">
        <f>VLOOKUP(VALUE(LEFT($A11, 4)), 'Raw Annual Revenue'!$A:W, 23, FALSE) / 4
</f>
        <v>16046.75</v>
      </c>
      <c r="X11" s="45">
        <f>VLOOKUP(VALUE(LEFT($A13, 4)), 'Raw Annual Revenue'!$A:X, 24, FALSE) / 4
</f>
        <v>302976.5</v>
      </c>
      <c r="Y11" s="43"/>
      <c r="Z11" s="43"/>
      <c r="AA11" s="43"/>
      <c r="AB11" s="43"/>
      <c r="AC11" s="43"/>
      <c r="AD11" s="43"/>
    </row>
    <row r="12">
      <c r="A12" s="42" t="s">
        <v>39</v>
      </c>
      <c r="B12" s="43"/>
      <c r="C12" s="46">
        <f>VLOOKUP(VALUE(LEFT(A12, 4)), 'Raw Annual Revenue'!A:C, 3, FALSE) / 4
</f>
        <v>120602.5</v>
      </c>
      <c r="D12" s="46">
        <f>VLOOKUP(VALUE(LEFT(A12, 4)), 'Raw Annual Revenue'!A:D, 4, FALSE) / 4
</f>
        <v>9674.75</v>
      </c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4"/>
      <c r="P12" s="43"/>
      <c r="Q12" s="43"/>
      <c r="R12" s="66"/>
      <c r="S12" s="45">
        <f>VLOOKUP(VALUE(LEFT($A12, 4)), 'Raw Annual Revenue'!$A:S, 19, FALSE) / 4</f>
        <v>48.75</v>
      </c>
      <c r="T12" s="43"/>
      <c r="U12" s="43"/>
      <c r="V12" s="43"/>
      <c r="W12" s="45">
        <f>VLOOKUP(VALUE(LEFT($A12, 4)), 'Raw Annual Revenue'!$A:W, 23, FALSE) / 4
</f>
        <v>16046.75</v>
      </c>
      <c r="X12" s="45">
        <f>VLOOKUP(VALUE(LEFT($A14, 4)), 'Raw Annual Revenue'!$A:X, 24, FALSE) / 4
</f>
        <v>302976.5</v>
      </c>
      <c r="Y12" s="43"/>
      <c r="Z12" s="43"/>
      <c r="AA12" s="43"/>
      <c r="AB12" s="43"/>
      <c r="AC12" s="43"/>
      <c r="AD12" s="43"/>
    </row>
    <row r="13">
      <c r="A13" s="42" t="s">
        <v>40</v>
      </c>
      <c r="B13" s="43"/>
      <c r="C13" s="46">
        <f>VLOOKUP(VALUE(LEFT(A13, 4)), 'Raw Annual Revenue'!A:C, 3, FALSE) / 4
</f>
        <v>120602.5</v>
      </c>
      <c r="D13" s="46">
        <f>VLOOKUP(VALUE(LEFT(A13, 4)), 'Raw Annual Revenue'!A:D, 4, FALSE) / 4
</f>
        <v>9674.75</v>
      </c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4"/>
      <c r="P13" s="43"/>
      <c r="Q13" s="43"/>
      <c r="R13" s="66"/>
      <c r="S13" s="45">
        <f>VLOOKUP(VALUE(LEFT($A13, 4)), 'Raw Annual Revenue'!$A:S, 19, FALSE) / 4</f>
        <v>48.75</v>
      </c>
      <c r="T13" s="43"/>
      <c r="U13" s="43"/>
      <c r="V13" s="43"/>
      <c r="W13" s="45">
        <f>VLOOKUP(VALUE(LEFT($A13, 4)), 'Raw Annual Revenue'!$A:W, 23, FALSE) / 4
</f>
        <v>16046.75</v>
      </c>
      <c r="X13" s="45">
        <f>VLOOKUP(VALUE(LEFT($A15, 4)), 'Raw Annual Revenue'!$A:X, 24, FALSE) / 4
</f>
        <v>360192.25</v>
      </c>
      <c r="Y13" s="43"/>
      <c r="Z13" s="43"/>
      <c r="AA13" s="43"/>
      <c r="AB13" s="43"/>
      <c r="AC13" s="43"/>
      <c r="AD13" s="43"/>
    </row>
    <row r="14">
      <c r="A14" s="42" t="s">
        <v>41</v>
      </c>
      <c r="B14" s="43"/>
      <c r="C14" s="46">
        <f>VLOOKUP(VALUE(LEFT(A14, 4)), 'Raw Annual Revenue'!A:C, 3, FALSE) / 4
</f>
        <v>120602.5</v>
      </c>
      <c r="D14" s="46">
        <f>VLOOKUP(VALUE(LEFT(A14, 4)), 'Raw Annual Revenue'!A:D, 4, FALSE) / 4
</f>
        <v>9674.75</v>
      </c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4"/>
      <c r="P14" s="43"/>
      <c r="Q14" s="43"/>
      <c r="R14" s="66"/>
      <c r="S14" s="45">
        <f>VLOOKUP(VALUE(LEFT($A14, 4)), 'Raw Annual Revenue'!$A:S, 19, FALSE) / 4</f>
        <v>48.75</v>
      </c>
      <c r="T14" s="43"/>
      <c r="U14" s="43"/>
      <c r="V14" s="43"/>
      <c r="W14" s="45">
        <f>VLOOKUP(VALUE(LEFT($A14, 4)), 'Raw Annual Revenue'!$A:W, 23, FALSE) / 4
</f>
        <v>16046.75</v>
      </c>
      <c r="X14" s="45">
        <f>VLOOKUP(VALUE(LEFT($A16, 4)), 'Raw Annual Revenue'!$A:X, 24, FALSE) / 4
</f>
        <v>360192.25</v>
      </c>
      <c r="Y14" s="43"/>
      <c r="Z14" s="43"/>
      <c r="AA14" s="43"/>
      <c r="AB14" s="43"/>
      <c r="AC14" s="43"/>
      <c r="AD14" s="43"/>
    </row>
    <row r="15">
      <c r="A15" s="42" t="s">
        <v>42</v>
      </c>
      <c r="B15" s="43"/>
      <c r="C15" s="46">
        <f>VLOOKUP(VALUE(LEFT(A15, 4)), 'Raw Annual Revenue'!A:C, 3, FALSE) / 4
</f>
        <v>308849</v>
      </c>
      <c r="D15" s="46">
        <f>VLOOKUP(VALUE(LEFT(A15, 4)), 'Raw Annual Revenue'!A:D, 4, FALSE) / 4
</f>
        <v>23657.75</v>
      </c>
      <c r="E15" s="45">
        <f>VLOOKUP(VALUE(LEFT(A15, 4)), 'Raw Annual Revenue'!A:E, 5, FALSE) / 4
</f>
        <v>195</v>
      </c>
      <c r="F15" s="43"/>
      <c r="G15" s="43"/>
      <c r="H15" s="43"/>
      <c r="I15" s="43"/>
      <c r="J15" s="43"/>
      <c r="K15" s="43"/>
      <c r="L15" s="43"/>
      <c r="M15" s="43"/>
      <c r="N15" s="43"/>
      <c r="O15" s="44"/>
      <c r="P15" s="43"/>
      <c r="Q15" s="43"/>
      <c r="R15" s="45"/>
      <c r="S15" s="45">
        <f>VLOOKUP(VALUE(LEFT($A15, 4)), 'Raw Annual Revenue'!$A:S, 19, FALSE) / 4</f>
        <v>1373.5</v>
      </c>
      <c r="T15" s="43"/>
      <c r="U15" s="43"/>
      <c r="V15" s="43"/>
      <c r="W15" s="45">
        <f>VLOOKUP(VALUE(LEFT($A15, 4)), 'Raw Annual Revenue'!$A:W, 23, FALSE) / 4
</f>
        <v>48167.5</v>
      </c>
      <c r="X15" s="45">
        <f>VLOOKUP(VALUE(LEFT($A17, 4)), 'Raw Annual Revenue'!$A:X, 24, FALSE) / 4
</f>
        <v>360192.25</v>
      </c>
      <c r="Y15" s="43"/>
      <c r="Z15" s="43"/>
      <c r="AA15" s="43"/>
      <c r="AB15" s="43"/>
      <c r="AC15" s="43"/>
      <c r="AD15" s="43"/>
    </row>
    <row r="16">
      <c r="A16" s="42" t="s">
        <v>43</v>
      </c>
      <c r="B16" s="43"/>
      <c r="C16" s="46">
        <f>VLOOKUP(VALUE(LEFT(A16, 4)), 'Raw Annual Revenue'!A:C, 3, FALSE) / 4
</f>
        <v>308849</v>
      </c>
      <c r="D16" s="46">
        <f>VLOOKUP(VALUE(LEFT(A16, 4)), 'Raw Annual Revenue'!A:D, 4, FALSE) / 4
</f>
        <v>23657.75</v>
      </c>
      <c r="E16" s="45">
        <f>VLOOKUP(VALUE(LEFT(A16, 4)), 'Raw Annual Revenue'!A:E, 5, FALSE) / 4
</f>
        <v>195</v>
      </c>
      <c r="F16" s="43"/>
      <c r="G16" s="43"/>
      <c r="H16" s="43"/>
      <c r="I16" s="43"/>
      <c r="J16" s="43"/>
      <c r="K16" s="43"/>
      <c r="L16" s="43"/>
      <c r="M16" s="43"/>
      <c r="N16" s="43"/>
      <c r="O16" s="44"/>
      <c r="P16" s="43"/>
      <c r="Q16" s="43"/>
      <c r="R16" s="45"/>
      <c r="S16" s="45">
        <f>VLOOKUP(VALUE(LEFT($A16, 4)), 'Raw Annual Revenue'!$A:S, 19, FALSE) / 4</f>
        <v>1373.5</v>
      </c>
      <c r="T16" s="43"/>
      <c r="U16" s="43"/>
      <c r="V16" s="43"/>
      <c r="W16" s="45">
        <f>VLOOKUP(VALUE(LEFT($A16, 4)), 'Raw Annual Revenue'!$A:W, 23, FALSE) / 4
</f>
        <v>48167.5</v>
      </c>
      <c r="X16" s="45">
        <f>VLOOKUP(VALUE(LEFT($A18, 4)), 'Raw Annual Revenue'!$A:X, 24, FALSE) / 4
</f>
        <v>360192.25</v>
      </c>
      <c r="Y16" s="43"/>
      <c r="Z16" s="43"/>
      <c r="AA16" s="43"/>
      <c r="AB16" s="43"/>
      <c r="AC16" s="43"/>
      <c r="AD16" s="43"/>
    </row>
    <row r="17">
      <c r="A17" s="42" t="s">
        <v>44</v>
      </c>
      <c r="B17" s="43"/>
      <c r="C17" s="46">
        <f>VLOOKUP(VALUE(LEFT(A17, 4)), 'Raw Annual Revenue'!A:C, 3, FALSE) / 4
</f>
        <v>308849</v>
      </c>
      <c r="D17" s="46">
        <f>VLOOKUP(VALUE(LEFT(A17, 4)), 'Raw Annual Revenue'!A:D, 4, FALSE) / 4
</f>
        <v>23657.75</v>
      </c>
      <c r="E17" s="45">
        <f>VLOOKUP(VALUE(LEFT(A17, 4)), 'Raw Annual Revenue'!A:E, 5, FALSE) / 4
</f>
        <v>195</v>
      </c>
      <c r="F17" s="43"/>
      <c r="G17" s="43"/>
      <c r="H17" s="43"/>
      <c r="I17" s="43"/>
      <c r="J17" s="43"/>
      <c r="K17" s="43"/>
      <c r="L17" s="43"/>
      <c r="M17" s="43"/>
      <c r="N17" s="43"/>
      <c r="O17" s="47"/>
      <c r="P17" s="43"/>
      <c r="Q17" s="43"/>
      <c r="R17" s="45"/>
      <c r="S17" s="45">
        <f>VLOOKUP(VALUE(LEFT($A17, 4)), 'Raw Annual Revenue'!$A:S, 19, FALSE) / 4</f>
        <v>1373.5</v>
      </c>
      <c r="T17" s="43"/>
      <c r="U17" s="43"/>
      <c r="V17" s="45"/>
      <c r="W17" s="45">
        <f>VLOOKUP(VALUE(LEFT($A17, 4)), 'Raw Annual Revenue'!$A:W, 23, FALSE) / 4
</f>
        <v>48167.5</v>
      </c>
      <c r="X17" s="45">
        <f>VLOOKUP(VALUE(LEFT($A19, 4)), 'Raw Annual Revenue'!$A:X, 24, FALSE) / 4
</f>
        <v>382190.5</v>
      </c>
      <c r="Y17" s="43"/>
      <c r="Z17" s="43"/>
      <c r="AA17" s="43"/>
      <c r="AB17" s="43"/>
      <c r="AC17" s="43"/>
      <c r="AD17" s="43"/>
    </row>
    <row r="18">
      <c r="A18" s="42" t="s">
        <v>45</v>
      </c>
      <c r="B18" s="43"/>
      <c r="C18" s="46">
        <f>VLOOKUP(VALUE(LEFT(A18, 4)), 'Raw Annual Revenue'!A:C, 3, FALSE) / 4
</f>
        <v>308849</v>
      </c>
      <c r="D18" s="46">
        <f>VLOOKUP(VALUE(LEFT(A18, 4)), 'Raw Annual Revenue'!A:D, 4, FALSE) / 4
</f>
        <v>23657.75</v>
      </c>
      <c r="E18" s="45">
        <f>VLOOKUP(VALUE(LEFT(A18, 4)), 'Raw Annual Revenue'!A:E, 5, FALSE) / 4
</f>
        <v>195</v>
      </c>
      <c r="F18" s="43"/>
      <c r="G18" s="43"/>
      <c r="H18" s="43"/>
      <c r="I18" s="43"/>
      <c r="J18" s="43"/>
      <c r="K18" s="43"/>
      <c r="L18" s="43"/>
      <c r="M18" s="43"/>
      <c r="N18" s="43"/>
      <c r="O18" s="47"/>
      <c r="P18" s="43"/>
      <c r="Q18" s="43"/>
      <c r="R18" s="45"/>
      <c r="S18" s="45">
        <f>VLOOKUP(VALUE(LEFT($A18, 4)), 'Raw Annual Revenue'!$A:S, 19, FALSE) / 4</f>
        <v>1373.5</v>
      </c>
      <c r="T18" s="43"/>
      <c r="U18" s="43"/>
      <c r="V18" s="45"/>
      <c r="W18" s="45">
        <f>VLOOKUP(VALUE(LEFT($A18, 4)), 'Raw Annual Revenue'!$A:W, 23, FALSE) / 4
</f>
        <v>48167.5</v>
      </c>
      <c r="X18" s="45">
        <f>VLOOKUP(VALUE(LEFT($A20, 4)), 'Raw Annual Revenue'!$A:X, 24, FALSE) / 4
</f>
        <v>382190.5</v>
      </c>
      <c r="Y18" s="43"/>
      <c r="Z18" s="43"/>
      <c r="AA18" s="43"/>
      <c r="AB18" s="43"/>
      <c r="AC18" s="43"/>
      <c r="AD18" s="43"/>
    </row>
    <row r="19">
      <c r="A19" s="42" t="s">
        <v>46</v>
      </c>
      <c r="B19" s="43"/>
      <c r="C19" s="46">
        <f>VLOOKUP(VALUE(LEFT(A19, 4)), 'Raw Annual Revenue'!A:C, 3, FALSE) / 4
</f>
        <v>292938.25</v>
      </c>
      <c r="D19" s="46">
        <f>VLOOKUP(VALUE(LEFT(A19, 4)), 'Raw Annual Revenue'!A:D, 4, FALSE) / 4
</f>
        <v>55555</v>
      </c>
      <c r="E19" s="46">
        <f>VLOOKUP(VALUE(LEFT(A19, 4)), 'Raw Annual Revenue'!A:E, 5, FALSE) / 4
</f>
        <v>1328.5</v>
      </c>
      <c r="F19" s="46"/>
      <c r="G19" s="46"/>
      <c r="H19" s="46"/>
      <c r="I19" s="46"/>
      <c r="J19" s="46"/>
      <c r="K19" s="46"/>
      <c r="L19" s="46"/>
      <c r="M19" s="46"/>
      <c r="N19" s="46"/>
      <c r="O19" s="48">
        <f>VLOOKUP(VALUE(LEFT(A19, 4)), 'Raw Annual Revenue'!A:O, 15, FALSE) / 4
</f>
        <v>34.75</v>
      </c>
      <c r="P19" s="43"/>
      <c r="Q19" s="43"/>
      <c r="R19" s="45"/>
      <c r="S19" s="45">
        <f>VLOOKUP(VALUE(LEFT($A19, 4)), 'Raw Annual Revenue'!$A:S, 19, FALSE) / 4</f>
        <v>6763.75</v>
      </c>
      <c r="T19" s="43"/>
      <c r="U19" s="43"/>
      <c r="V19" s="45">
        <f>VLOOKUP(VALUE(LEFT($A19, 4)), 'Raw Annual Revenue'!$A:V, 22, FALSE) / 4
</f>
        <v>10850.75</v>
      </c>
      <c r="W19" s="45">
        <f>VLOOKUP(VALUE(LEFT($A19, 4)), 'Raw Annual Revenue'!$A:W, 23, FALSE) / 4
</f>
        <v>75442.5</v>
      </c>
      <c r="X19" s="45">
        <f>VLOOKUP(VALUE(LEFT($A21, 4)), 'Raw Annual Revenue'!$A:X, 24, FALSE) / 4
</f>
        <v>382190.5</v>
      </c>
      <c r="Y19" s="43"/>
      <c r="Z19" s="43"/>
      <c r="AA19" s="43"/>
      <c r="AB19" s="43"/>
      <c r="AC19" s="43"/>
      <c r="AD19" s="43"/>
    </row>
    <row r="20">
      <c r="A20" s="42" t="s">
        <v>47</v>
      </c>
      <c r="B20" s="43"/>
      <c r="C20" s="46">
        <f>VLOOKUP(VALUE(LEFT(A20, 4)), 'Raw Annual Revenue'!A:C, 3, FALSE) / 4
</f>
        <v>292938.25</v>
      </c>
      <c r="D20" s="46">
        <f>VLOOKUP(VALUE(LEFT(A20, 4)), 'Raw Annual Revenue'!A:D, 4, FALSE) / 4
</f>
        <v>55555</v>
      </c>
      <c r="E20" s="46">
        <f>VLOOKUP(VALUE(LEFT(A20, 4)), 'Raw Annual Revenue'!A:E, 5, FALSE) / 4
</f>
        <v>1328.5</v>
      </c>
      <c r="F20" s="43"/>
      <c r="G20" s="43"/>
      <c r="H20" s="43"/>
      <c r="I20" s="43"/>
      <c r="J20" s="43"/>
      <c r="K20" s="43"/>
      <c r="L20" s="43"/>
      <c r="M20" s="43"/>
      <c r="N20" s="43"/>
      <c r="O20" s="48">
        <f>VLOOKUP(VALUE(LEFT(A20, 4)), 'Raw Annual Revenue'!A:O, 15, FALSE) / 4
</f>
        <v>34.75</v>
      </c>
      <c r="P20" s="43"/>
      <c r="Q20" s="43"/>
      <c r="R20" s="45"/>
      <c r="S20" s="45">
        <f>VLOOKUP(VALUE(LEFT($A20, 4)), 'Raw Annual Revenue'!$A:S, 19, FALSE) / 4</f>
        <v>6763.75</v>
      </c>
      <c r="T20" s="43"/>
      <c r="U20" s="43"/>
      <c r="V20" s="45">
        <f>VLOOKUP(VALUE(LEFT($A20, 4)), 'Raw Annual Revenue'!$A:V, 22, FALSE) / 4
</f>
        <v>10850.75</v>
      </c>
      <c r="W20" s="45">
        <f>VLOOKUP(VALUE(LEFT($A20, 4)), 'Raw Annual Revenue'!$A:W, 23, FALSE) / 4
</f>
        <v>75442.5</v>
      </c>
      <c r="X20" s="45">
        <f>VLOOKUP(VALUE(LEFT($A22, 4)), 'Raw Annual Revenue'!$A:X, 24, FALSE) / 4
</f>
        <v>382190.5</v>
      </c>
      <c r="Y20" s="43"/>
      <c r="Z20" s="43"/>
      <c r="AA20" s="43"/>
      <c r="AB20" s="43"/>
      <c r="AC20" s="43"/>
      <c r="AD20" s="43"/>
    </row>
    <row r="21">
      <c r="A21" s="42" t="s">
        <v>48</v>
      </c>
      <c r="B21" s="43"/>
      <c r="C21" s="46">
        <f>VLOOKUP(VALUE(LEFT(A21, 4)), 'Raw Annual Revenue'!A:C, 3, FALSE) / 4
</f>
        <v>292938.25</v>
      </c>
      <c r="D21" s="46">
        <f>VLOOKUP(VALUE(LEFT(A21, 4)), 'Raw Annual Revenue'!A:D, 4, FALSE) / 4
</f>
        <v>55555</v>
      </c>
      <c r="E21" s="46">
        <f>VLOOKUP(VALUE(LEFT(A21, 4)), 'Raw Annual Revenue'!A:E, 5, FALSE) / 4
</f>
        <v>1328.5</v>
      </c>
      <c r="F21" s="43"/>
      <c r="G21" s="43"/>
      <c r="H21" s="43"/>
      <c r="I21" s="43"/>
      <c r="J21" s="43"/>
      <c r="K21" s="43"/>
      <c r="L21" s="43"/>
      <c r="M21" s="43"/>
      <c r="N21" s="43"/>
      <c r="O21" s="47">
        <f>VLOOKUP(VALUE(LEFT(A23, 4)), 'Raw Annual Revenue'!A:O, 15, FALSE) / 4
</f>
        <v>132.875</v>
      </c>
      <c r="P21" s="43"/>
      <c r="Q21" s="43"/>
      <c r="R21" s="45"/>
      <c r="S21" s="45">
        <f>VLOOKUP(VALUE(LEFT($A21, 4)), 'Raw Annual Revenue'!$A:S, 19, FALSE) / 4</f>
        <v>6763.75</v>
      </c>
      <c r="T21" s="43"/>
      <c r="U21" s="43"/>
      <c r="V21" s="45">
        <f>VLOOKUP(VALUE(LEFT($A21, 4)), 'Raw Annual Revenue'!$A:V, 22, FALSE) / 4
</f>
        <v>10850.75</v>
      </c>
      <c r="W21" s="45">
        <f>VLOOKUP(VALUE(LEFT($A21, 4)), 'Raw Annual Revenue'!$A:W, 23, FALSE) / 4
</f>
        <v>75442.5</v>
      </c>
      <c r="X21" s="45">
        <f>VLOOKUP(VALUE(LEFT($A23, 4)), 'Raw Annual Revenue'!$A:X, 24, FALSE) / 4
</f>
        <v>508796</v>
      </c>
      <c r="Y21" s="43"/>
      <c r="Z21" s="43"/>
      <c r="AA21" s="43"/>
      <c r="AB21" s="43"/>
      <c r="AC21" s="43"/>
      <c r="AD21" s="43"/>
    </row>
    <row r="22">
      <c r="A22" s="42" t="s">
        <v>49</v>
      </c>
      <c r="B22" s="43"/>
      <c r="C22" s="46">
        <f>VLOOKUP(VALUE(LEFT(A22, 4)), 'Raw Annual Revenue'!A:C, 3, FALSE) / 4
</f>
        <v>292938.25</v>
      </c>
      <c r="D22" s="46">
        <f>VLOOKUP(VALUE(LEFT(A22, 4)), 'Raw Annual Revenue'!A:D, 4, FALSE) / 4
</f>
        <v>55555</v>
      </c>
      <c r="E22" s="46">
        <f>VLOOKUP(VALUE(LEFT(A22, 4)), 'Raw Annual Revenue'!A:E, 5, FALSE) / 4
</f>
        <v>1328.5</v>
      </c>
      <c r="F22" s="43"/>
      <c r="G22" s="43"/>
      <c r="H22" s="43"/>
      <c r="I22" s="43"/>
      <c r="J22" s="43"/>
      <c r="K22" s="43"/>
      <c r="L22" s="43"/>
      <c r="M22" s="43"/>
      <c r="N22" s="43"/>
      <c r="O22" s="47">
        <f>VLOOKUP(VALUE(LEFT(A24, 4)), 'Raw Annual Revenue'!A:O, 15, FALSE) / 4
</f>
        <v>132.875</v>
      </c>
      <c r="P22" s="43"/>
      <c r="Q22" s="43"/>
      <c r="R22" s="45"/>
      <c r="S22" s="45">
        <f>VLOOKUP(VALUE(LEFT($A22, 4)), 'Raw Annual Revenue'!$A:S, 19, FALSE) / 4</f>
        <v>6763.75</v>
      </c>
      <c r="T22" s="43"/>
      <c r="U22" s="43"/>
      <c r="V22" s="45">
        <f>VLOOKUP(VALUE(LEFT($A22, 4)), 'Raw Annual Revenue'!$A:V, 22, FALSE) / 4
</f>
        <v>10850.75</v>
      </c>
      <c r="W22" s="45">
        <f>VLOOKUP(VALUE(LEFT($A22, 4)), 'Raw Annual Revenue'!$A:W, 23, FALSE) / 4
</f>
        <v>75442.5</v>
      </c>
      <c r="X22" s="45">
        <f>VLOOKUP(VALUE(LEFT($A24, 4)), 'Raw Annual Revenue'!$A:X, 24, FALSE) / 4
</f>
        <v>508796</v>
      </c>
      <c r="Y22" s="43"/>
      <c r="Z22" s="43"/>
      <c r="AA22" s="43"/>
      <c r="AB22" s="43"/>
      <c r="AC22" s="43"/>
      <c r="AD22" s="43"/>
    </row>
    <row r="23">
      <c r="A23" s="42" t="s">
        <v>50</v>
      </c>
      <c r="B23" s="43"/>
      <c r="C23" s="46">
        <f>VLOOKUP(VALUE(LEFT(A23, 4)), 'Raw Annual Revenue'!A:C, 3, FALSE) / 4
</f>
        <v>250901.5</v>
      </c>
      <c r="D23" s="46">
        <f>VLOOKUP(VALUE(LEFT(A23, 4)), 'Raw Annual Revenue'!A:D, 4, FALSE) / 4
</f>
        <v>374768.75</v>
      </c>
      <c r="E23" s="46">
        <f>VLOOKUP(VALUE(LEFT(A23, 4)), 'Raw Annual Revenue'!A:E, 5, FALSE) / 4
</f>
        <v>3052.5</v>
      </c>
      <c r="F23" s="43"/>
      <c r="G23" s="43"/>
      <c r="H23" s="43"/>
      <c r="I23" s="43"/>
      <c r="J23" s="43"/>
      <c r="K23" s="43"/>
      <c r="L23" s="43"/>
      <c r="M23" s="43"/>
      <c r="N23" s="43"/>
      <c r="O23" s="47">
        <f>VLOOKUP(VALUE(LEFT(A25, 4)), 'Raw Annual Revenue'!A:O, 15, FALSE) / 4
</f>
        <v>132.875</v>
      </c>
      <c r="P23" s="43"/>
      <c r="Q23" s="43"/>
      <c r="R23" s="45"/>
      <c r="S23" s="45">
        <f>VLOOKUP(VALUE(LEFT($A23, 4)), 'Raw Annual Revenue'!$A:S, 19, FALSE) / 4</f>
        <v>13694.25</v>
      </c>
      <c r="T23" s="43"/>
      <c r="U23" s="43"/>
      <c r="V23" s="45">
        <f>VLOOKUP(VALUE(LEFT($A23, 4)), 'Raw Annual Revenue'!$A:V, 22, FALSE) / 4
</f>
        <v>43877.5</v>
      </c>
      <c r="W23" s="45"/>
      <c r="X23" s="45">
        <f>VLOOKUP(VALUE(LEFT($A25, 4)), 'Raw Annual Revenue'!$A:X, 24, FALSE) / 4
</f>
        <v>508796</v>
      </c>
      <c r="Y23" s="43"/>
      <c r="Z23" s="43"/>
      <c r="AA23" s="43"/>
      <c r="AB23" s="43"/>
      <c r="AC23" s="43"/>
      <c r="AD23" s="43"/>
    </row>
    <row r="24">
      <c r="A24" s="42" t="s">
        <v>51</v>
      </c>
      <c r="B24" s="43"/>
      <c r="C24" s="46">
        <f>VLOOKUP(VALUE(LEFT(A24, 4)), 'Raw Annual Revenue'!A:C, 3, FALSE) / 4
</f>
        <v>250901.5</v>
      </c>
      <c r="D24" s="46">
        <f>VLOOKUP(VALUE(LEFT(A24, 4)), 'Raw Annual Revenue'!A:D, 4, FALSE) / 4
</f>
        <v>374768.75</v>
      </c>
      <c r="E24" s="46">
        <f>VLOOKUP(VALUE(LEFT(A24, 4)), 'Raw Annual Revenue'!A:E, 5, FALSE) / 4
</f>
        <v>3052.5</v>
      </c>
      <c r="F24" s="43"/>
      <c r="G24" s="43"/>
      <c r="H24" s="43"/>
      <c r="I24" s="43"/>
      <c r="J24" s="43"/>
      <c r="K24" s="43"/>
      <c r="L24" s="43"/>
      <c r="M24" s="43"/>
      <c r="N24" s="43"/>
      <c r="O24" s="47">
        <f>VLOOKUP(VALUE(LEFT(A26, 4)), 'Raw Annual Revenue'!A:O, 15, FALSE) / 4
</f>
        <v>132.875</v>
      </c>
      <c r="P24" s="43"/>
      <c r="Q24" s="43"/>
      <c r="R24" s="45"/>
      <c r="S24" s="45">
        <f>VLOOKUP(VALUE(LEFT($A24, 4)), 'Raw Annual Revenue'!$A:S, 19, FALSE) / 4</f>
        <v>13694.25</v>
      </c>
      <c r="T24" s="43"/>
      <c r="U24" s="43"/>
      <c r="V24" s="45">
        <f>VLOOKUP(VALUE(LEFT($A24, 4)), 'Raw Annual Revenue'!$A:V, 22, FALSE) / 4
</f>
        <v>43877.5</v>
      </c>
      <c r="W24" s="45"/>
      <c r="X24" s="45">
        <f>VLOOKUP(VALUE(LEFT($A26, 4)), 'Raw Annual Revenue'!$A:X, 24, FALSE) / 4
</f>
        <v>508796</v>
      </c>
      <c r="Y24" s="43"/>
      <c r="Z24" s="43"/>
      <c r="AA24" s="43"/>
      <c r="AB24" s="43"/>
      <c r="AC24" s="43"/>
      <c r="AD24" s="43"/>
    </row>
    <row r="25">
      <c r="A25" s="42" t="s">
        <v>52</v>
      </c>
      <c r="B25" s="43"/>
      <c r="C25" s="46">
        <f>VLOOKUP(VALUE(LEFT(A25, 4)), 'Raw Annual Revenue'!A:C, 3, FALSE) / 4
</f>
        <v>250901.5</v>
      </c>
      <c r="D25" s="46">
        <f>VLOOKUP(VALUE(LEFT(A25, 4)), 'Raw Annual Revenue'!A:D, 4, FALSE) / 4
</f>
        <v>374768.75</v>
      </c>
      <c r="E25" s="46">
        <f>VLOOKUP(VALUE(LEFT(A25, 4)), 'Raw Annual Revenue'!A:E, 5, FALSE) / 4
</f>
        <v>3052.5</v>
      </c>
      <c r="F25" s="43"/>
      <c r="G25" s="43"/>
      <c r="H25" s="43"/>
      <c r="I25" s="43"/>
      <c r="J25" s="43"/>
      <c r="K25" s="43"/>
      <c r="L25" s="43"/>
      <c r="M25" s="43"/>
      <c r="N25" s="43"/>
      <c r="O25" s="47">
        <f>VLOOKUP(VALUE(LEFT(A27, 4)), 'Raw Annual Revenue'!A:O, 15, FALSE) / 4
</f>
        <v>231</v>
      </c>
      <c r="P25" s="43"/>
      <c r="Q25" s="43"/>
      <c r="R25" s="45"/>
      <c r="S25" s="45">
        <f>VLOOKUP(VALUE(LEFT($A25, 4)), 'Raw Annual Revenue'!$A:S, 19, FALSE) / 4</f>
        <v>13694.25</v>
      </c>
      <c r="T25" s="43"/>
      <c r="U25" s="43"/>
      <c r="V25" s="45">
        <f>VLOOKUP(VALUE(LEFT($A25, 4)), 'Raw Annual Revenue'!$A:V, 22, FALSE) / 4
</f>
        <v>43877.5</v>
      </c>
      <c r="W25" s="45"/>
      <c r="X25" s="45">
        <f>VLOOKUP(VALUE(LEFT($A27, 4)), 'Raw Annual Revenue'!$A:X, 24, FALSE) / 4
</f>
        <v>101197.5</v>
      </c>
      <c r="Y25" s="43"/>
      <c r="Z25" s="43"/>
      <c r="AA25" s="43"/>
      <c r="AB25" s="43"/>
      <c r="AC25" s="43"/>
      <c r="AD25" s="43"/>
    </row>
    <row r="26">
      <c r="A26" s="42" t="s">
        <v>53</v>
      </c>
      <c r="B26" s="43"/>
      <c r="C26" s="46">
        <f>VLOOKUP(VALUE(LEFT(A26, 4)), 'Raw Annual Revenue'!A:C, 3, FALSE) / 4
</f>
        <v>250901.5</v>
      </c>
      <c r="D26" s="46">
        <f>VLOOKUP(VALUE(LEFT(A26, 4)), 'Raw Annual Revenue'!A:D, 4, FALSE) / 4
</f>
        <v>374768.75</v>
      </c>
      <c r="E26" s="46">
        <f>VLOOKUP(VALUE(LEFT(A26, 4)), 'Raw Annual Revenue'!A:E, 5, FALSE) / 4
</f>
        <v>3052.5</v>
      </c>
      <c r="F26" s="43"/>
      <c r="G26" s="43"/>
      <c r="H26" s="43"/>
      <c r="I26" s="43"/>
      <c r="J26" s="43"/>
      <c r="K26" s="43"/>
      <c r="L26" s="43"/>
      <c r="M26" s="43"/>
      <c r="N26" s="43"/>
      <c r="O26" s="47">
        <f>VLOOKUP(VALUE(LEFT(A28, 4)), 'Raw Annual Revenue'!A:O, 15, FALSE) / 4
</f>
        <v>231</v>
      </c>
      <c r="P26" s="43"/>
      <c r="Q26" s="43"/>
      <c r="R26" s="45"/>
      <c r="S26" s="45">
        <f>VLOOKUP(VALUE(LEFT($A26, 4)), 'Raw Annual Revenue'!$A:S, 19, FALSE) / 4</f>
        <v>13694.25</v>
      </c>
      <c r="T26" s="43"/>
      <c r="U26" s="43"/>
      <c r="V26" s="45">
        <f>VLOOKUP(VALUE(LEFT($A26, 4)), 'Raw Annual Revenue'!$A:V, 22, FALSE) / 4
</f>
        <v>43877.5</v>
      </c>
      <c r="W26" s="45"/>
      <c r="X26" s="45">
        <f>VLOOKUP(VALUE(LEFT($A28, 4)), 'Raw Annual Revenue'!$A:X, 24, FALSE) / 4
</f>
        <v>101197.5</v>
      </c>
      <c r="Y26" s="43"/>
      <c r="Z26" s="43"/>
      <c r="AA26" s="43"/>
      <c r="AB26" s="43"/>
      <c r="AC26" s="43"/>
      <c r="AD26" s="43"/>
    </row>
    <row r="27">
      <c r="A27" s="42" t="s">
        <v>54</v>
      </c>
      <c r="B27" s="43"/>
      <c r="C27" s="46">
        <f>VLOOKUP(VALUE(LEFT(A27, 4)), 'Raw Annual Revenue'!A:C, 3, FALSE) / 4
</f>
        <v>215915.25</v>
      </c>
      <c r="D27" s="46">
        <f>VLOOKUP(VALUE(LEFT(A27, 4)), 'Raw Annual Revenue'!A:D, 4, FALSE) / 4
</f>
        <v>584953.25</v>
      </c>
      <c r="E27" s="46">
        <f>VLOOKUP(VALUE(LEFT(A27, 4)), 'Raw Annual Revenue'!A:E, 5, FALSE) / 4
</f>
        <v>5383.75</v>
      </c>
      <c r="F27" s="43"/>
      <c r="G27" s="43"/>
      <c r="H27" s="43"/>
      <c r="I27" s="43"/>
      <c r="J27" s="43"/>
      <c r="K27" s="43"/>
      <c r="L27" s="43"/>
      <c r="M27" s="43"/>
      <c r="N27" s="43"/>
      <c r="O27" s="47">
        <f>VLOOKUP(VALUE(LEFT(A29, 4)), 'Raw Annual Revenue'!A:O, 15, FALSE) / 4
</f>
        <v>231</v>
      </c>
      <c r="P27" s="43"/>
      <c r="Q27" s="43"/>
      <c r="R27" s="45"/>
      <c r="S27" s="45">
        <f>VLOOKUP(VALUE(LEFT($A27, 4)), 'Raw Annual Revenue'!$A:S, 19, FALSE) / 4</f>
        <v>88686.5</v>
      </c>
      <c r="T27" s="43"/>
      <c r="U27" s="43"/>
      <c r="V27" s="45">
        <f>VLOOKUP(VALUE(LEFT($A27, 4)), 'Raw Annual Revenue'!$A:V, 22, FALSE) / 4
</f>
        <v>60460</v>
      </c>
      <c r="W27" s="45"/>
      <c r="X27" s="45">
        <f>VLOOKUP(VALUE(LEFT($A29, 4)), 'Raw Annual Revenue'!$A:X, 24, FALSE) / 4
</f>
        <v>101197.5</v>
      </c>
      <c r="Y27" s="43"/>
      <c r="Z27" s="43"/>
      <c r="AA27" s="43"/>
      <c r="AB27" s="43"/>
      <c r="AC27" s="43"/>
      <c r="AD27" s="43"/>
    </row>
    <row r="28">
      <c r="A28" s="42" t="s">
        <v>55</v>
      </c>
      <c r="B28" s="43"/>
      <c r="C28" s="46">
        <f>VLOOKUP(VALUE(LEFT(A28, 4)), 'Raw Annual Revenue'!A:C, 3, FALSE) / 4
</f>
        <v>215915.25</v>
      </c>
      <c r="D28" s="46">
        <f>VLOOKUP(VALUE(LEFT(A28, 4)), 'Raw Annual Revenue'!A:D, 4, FALSE) / 4
</f>
        <v>584953.25</v>
      </c>
      <c r="E28" s="46">
        <f>VLOOKUP(VALUE(LEFT(A28, 4)), 'Raw Annual Revenue'!A:E, 5, FALSE) / 4
</f>
        <v>5383.75</v>
      </c>
      <c r="F28" s="43"/>
      <c r="G28" s="43"/>
      <c r="H28" s="43"/>
      <c r="I28" s="43"/>
      <c r="J28" s="43"/>
      <c r="K28" s="43"/>
      <c r="L28" s="43"/>
      <c r="M28" s="43"/>
      <c r="N28" s="43"/>
      <c r="O28" s="47">
        <f>VLOOKUP(VALUE(LEFT(A30, 4)), 'Raw Annual Revenue'!A:O, 15, FALSE) / 4
</f>
        <v>231</v>
      </c>
      <c r="P28" s="43"/>
      <c r="Q28" s="43"/>
      <c r="R28" s="45"/>
      <c r="S28" s="45">
        <f>VLOOKUP(VALUE(LEFT($A28, 4)), 'Raw Annual Revenue'!$A:S, 19, FALSE) / 4</f>
        <v>88686.5</v>
      </c>
      <c r="T28" s="43"/>
      <c r="U28" s="43"/>
      <c r="V28" s="45">
        <f>VLOOKUP(VALUE(LEFT($A28, 4)), 'Raw Annual Revenue'!$A:V, 22, FALSE) / 4
</f>
        <v>60460</v>
      </c>
      <c r="W28" s="45"/>
      <c r="X28" s="45">
        <f>VLOOKUP(VALUE(LEFT($A30, 4)), 'Raw Annual Revenue'!$A:X, 24, FALSE) / 4
</f>
        <v>101197.5</v>
      </c>
      <c r="Y28" s="43"/>
      <c r="Z28" s="43"/>
      <c r="AA28" s="43"/>
      <c r="AB28" s="43"/>
      <c r="AC28" s="43"/>
      <c r="AD28" s="43"/>
    </row>
    <row r="29">
      <c r="A29" s="42" t="s">
        <v>56</v>
      </c>
      <c r="B29" s="43"/>
      <c r="C29" s="46">
        <f>VLOOKUP(VALUE(LEFT(A29, 4)), 'Raw Annual Revenue'!A:C, 3, FALSE) / 4
</f>
        <v>215915.25</v>
      </c>
      <c r="D29" s="46">
        <f>VLOOKUP(VALUE(LEFT(A29, 4)), 'Raw Annual Revenue'!A:D, 4, FALSE) / 4
</f>
        <v>584953.25</v>
      </c>
      <c r="E29" s="46">
        <f>VLOOKUP(VALUE(LEFT(A29, 4)), 'Raw Annual Revenue'!A:E, 5, FALSE) / 4
</f>
        <v>5383.75</v>
      </c>
      <c r="F29" s="43"/>
      <c r="G29" s="43"/>
      <c r="H29" s="43"/>
      <c r="I29" s="43"/>
      <c r="J29" s="43"/>
      <c r="K29" s="43"/>
      <c r="L29" s="43"/>
      <c r="M29" s="43"/>
      <c r="N29" s="43"/>
      <c r="O29" s="47">
        <f>VLOOKUP(VALUE(LEFT(A31, 4)), 'Raw Annual Revenue'!A:O, 15, FALSE) / 4
</f>
        <v>247.75</v>
      </c>
      <c r="P29" s="43"/>
      <c r="Q29" s="43"/>
      <c r="R29" s="45"/>
      <c r="S29" s="45">
        <f>VLOOKUP(VALUE(LEFT($A29, 4)), 'Raw Annual Revenue'!$A:S, 19, FALSE) / 4</f>
        <v>88686.5</v>
      </c>
      <c r="T29" s="43"/>
      <c r="U29" s="43"/>
      <c r="V29" s="45">
        <f>VLOOKUP(VALUE(LEFT($A29, 4)), 'Raw Annual Revenue'!$A:V, 22, FALSE) / 4
</f>
        <v>60460</v>
      </c>
      <c r="W29" s="45"/>
      <c r="X29" s="45">
        <f>VLOOKUP(VALUE(LEFT($A31, 4)), 'Raw Annual Revenue'!$A:X, 24, FALSE) / 4
</f>
        <v>133462.25</v>
      </c>
      <c r="Y29" s="43"/>
      <c r="Z29" s="43"/>
      <c r="AA29" s="43"/>
      <c r="AB29" s="43"/>
      <c r="AC29" s="43"/>
      <c r="AD29" s="43"/>
    </row>
    <row r="30">
      <c r="A30" s="42" t="s">
        <v>57</v>
      </c>
      <c r="B30" s="43"/>
      <c r="C30" s="46">
        <f>VLOOKUP(VALUE(LEFT(A30, 4)), 'Raw Annual Revenue'!A:C, 3, FALSE) / 4
</f>
        <v>215915.25</v>
      </c>
      <c r="D30" s="46">
        <f>VLOOKUP(VALUE(LEFT(A30, 4)), 'Raw Annual Revenue'!A:D, 4, FALSE) / 4
</f>
        <v>584953.25</v>
      </c>
      <c r="E30" s="46">
        <f>VLOOKUP(VALUE(LEFT(A30, 4)), 'Raw Annual Revenue'!A:E, 5, FALSE) / 4
</f>
        <v>5383.75</v>
      </c>
      <c r="F30" s="43"/>
      <c r="G30" s="43"/>
      <c r="H30" s="43"/>
      <c r="I30" s="43"/>
      <c r="J30" s="43"/>
      <c r="K30" s="43"/>
      <c r="L30" s="43"/>
      <c r="M30" s="43"/>
      <c r="N30" s="43"/>
      <c r="O30" s="47">
        <f>VLOOKUP(VALUE(LEFT(A32, 4)), 'Raw Annual Revenue'!A:O, 15, FALSE) / 4
</f>
        <v>247.75</v>
      </c>
      <c r="P30" s="43"/>
      <c r="Q30" s="43"/>
      <c r="R30" s="45"/>
      <c r="S30" s="45">
        <f>VLOOKUP(VALUE(LEFT($A30, 4)), 'Raw Annual Revenue'!$A:S, 19, FALSE) / 4</f>
        <v>88686.5</v>
      </c>
      <c r="T30" s="43"/>
      <c r="U30" s="43"/>
      <c r="V30" s="45">
        <f>VLOOKUP(VALUE(LEFT($A30, 4)), 'Raw Annual Revenue'!$A:V, 22, FALSE) / 4
</f>
        <v>60460</v>
      </c>
      <c r="W30" s="45"/>
      <c r="X30" s="45">
        <f>VLOOKUP(VALUE(LEFT($A32, 4)), 'Raw Annual Revenue'!$A:X, 24, FALSE) / 4
</f>
        <v>133462.25</v>
      </c>
      <c r="Y30" s="43"/>
      <c r="Z30" s="43"/>
      <c r="AA30" s="43"/>
      <c r="AB30" s="43"/>
      <c r="AC30" s="43"/>
      <c r="AD30" s="43"/>
    </row>
    <row r="31">
      <c r="A31" s="42" t="s">
        <v>58</v>
      </c>
      <c r="B31" s="43"/>
      <c r="C31" s="46">
        <f>VLOOKUP(VALUE(LEFT(A31, 4)), 'Raw Annual Revenue'!A:C, 3, FALSE) / 4
</f>
        <v>228593</v>
      </c>
      <c r="D31" s="46">
        <f>VLOOKUP(VALUE(LEFT(A31, 4)), 'Raw Annual Revenue'!A:D, 4, FALSE) / 4
</f>
        <v>460753.25</v>
      </c>
      <c r="E31" s="46">
        <f>VLOOKUP(VALUE(LEFT(A31, 4)), 'Raw Annual Revenue'!A:E, 5, FALSE) / 4
</f>
        <v>10218.25</v>
      </c>
      <c r="F31" s="43"/>
      <c r="G31" s="43"/>
      <c r="H31" s="43"/>
      <c r="I31" s="43"/>
      <c r="J31" s="43"/>
      <c r="K31" s="43"/>
      <c r="L31" s="43"/>
      <c r="M31" s="43"/>
      <c r="N31" s="43"/>
      <c r="O31" s="47">
        <f>VLOOKUP(VALUE(LEFT(A33, 4)), 'Raw Annual Revenue'!A:O, 15, FALSE) / 4
</f>
        <v>247.75</v>
      </c>
      <c r="P31" s="43"/>
      <c r="Q31" s="43"/>
      <c r="R31" s="45"/>
      <c r="S31" s="45"/>
      <c r="T31" s="43"/>
      <c r="U31" s="43"/>
      <c r="V31" s="45">
        <f>VLOOKUP(VALUE(LEFT($A31, 4)), 'Raw Annual Revenue'!$A:V, 22, FALSE) / 4
</f>
        <v>61000</v>
      </c>
      <c r="W31" s="43"/>
      <c r="X31" s="45">
        <f>VLOOKUP(VALUE(LEFT($A33, 4)), 'Raw Annual Revenue'!$A:X, 24, FALSE) / 4
</f>
        <v>133462.25</v>
      </c>
      <c r="Y31" s="43"/>
      <c r="Z31" s="43"/>
      <c r="AA31" s="43"/>
      <c r="AB31" s="43"/>
      <c r="AC31" s="43"/>
      <c r="AD31" s="43"/>
    </row>
    <row r="32">
      <c r="A32" s="42" t="s">
        <v>59</v>
      </c>
      <c r="B32" s="43"/>
      <c r="C32" s="46">
        <f>VLOOKUP(VALUE(LEFT(A32, 4)), 'Raw Annual Revenue'!A:C, 3, FALSE) / 4
</f>
        <v>228593</v>
      </c>
      <c r="D32" s="46">
        <f>VLOOKUP(VALUE(LEFT(A32, 4)), 'Raw Annual Revenue'!A:D, 4, FALSE) / 4
</f>
        <v>460753.25</v>
      </c>
      <c r="E32" s="46">
        <f>VLOOKUP(VALUE(LEFT(A32, 4)), 'Raw Annual Revenue'!A:E, 5, FALSE) / 4
</f>
        <v>10218.25</v>
      </c>
      <c r="F32" s="43"/>
      <c r="G32" s="43"/>
      <c r="H32" s="43"/>
      <c r="I32" s="43"/>
      <c r="J32" s="43"/>
      <c r="K32" s="43"/>
      <c r="L32" s="43"/>
      <c r="M32" s="43"/>
      <c r="N32" s="43"/>
      <c r="O32" s="47">
        <f>VLOOKUP(VALUE(LEFT(A34, 4)), 'Raw Annual Revenue'!A:O, 15, FALSE) / 4
</f>
        <v>247.75</v>
      </c>
      <c r="P32" s="43"/>
      <c r="Q32" s="43"/>
      <c r="R32" s="43"/>
      <c r="S32" s="43"/>
      <c r="T32" s="43"/>
      <c r="U32" s="43"/>
      <c r="V32" s="45">
        <f>VLOOKUP(VALUE(LEFT($A32, 4)), 'Raw Annual Revenue'!$A:V, 22, FALSE) / 4
</f>
        <v>61000</v>
      </c>
      <c r="W32" s="43"/>
      <c r="X32" s="45">
        <f>VLOOKUP(VALUE(LEFT($A34, 4)), 'Raw Annual Revenue'!$A:X, 24, FALSE) / 4
</f>
        <v>133462.25</v>
      </c>
      <c r="Y32" s="43"/>
      <c r="Z32" s="43"/>
      <c r="AA32" s="43"/>
      <c r="AB32" s="43"/>
      <c r="AC32" s="43"/>
      <c r="AD32" s="43"/>
    </row>
    <row r="33">
      <c r="A33" s="42" t="s">
        <v>60</v>
      </c>
      <c r="B33" s="43"/>
      <c r="C33" s="46">
        <f>VLOOKUP(VALUE(LEFT(A33, 4)), 'Raw Annual Revenue'!A:C, 3, FALSE) / 4
</f>
        <v>228593</v>
      </c>
      <c r="D33" s="46">
        <f>VLOOKUP(VALUE(LEFT(A33, 4)), 'Raw Annual Revenue'!A:D, 4, FALSE) / 4
</f>
        <v>460753.25</v>
      </c>
      <c r="E33" s="46">
        <f>VLOOKUP(VALUE(LEFT(A33, 4)), 'Raw Annual Revenue'!A:E, 5, FALSE) / 4
</f>
        <v>10218.25</v>
      </c>
      <c r="F33" s="43"/>
      <c r="G33" s="43"/>
      <c r="H33" s="43"/>
      <c r="I33" s="43"/>
      <c r="J33" s="43"/>
      <c r="K33" s="43"/>
      <c r="L33" s="43"/>
      <c r="M33" s="43"/>
      <c r="N33" s="43"/>
      <c r="O33" s="47">
        <f>VLOOKUP(VALUE(LEFT(A35, 4)), 'Raw Annual Revenue'!A:O, 15, FALSE) / 4
</f>
        <v>997.5</v>
      </c>
      <c r="P33" s="43"/>
      <c r="Q33" s="43"/>
      <c r="R33" s="43"/>
      <c r="S33" s="43"/>
      <c r="T33" s="43"/>
      <c r="U33" s="43"/>
      <c r="V33" s="45">
        <f>VLOOKUP(VALUE(LEFT($A33, 4)), 'Raw Annual Revenue'!$A:V, 22, FALSE) / 4
</f>
        <v>61000</v>
      </c>
      <c r="W33" s="43"/>
      <c r="X33" s="45">
        <f>VLOOKUP(VALUE(LEFT($A35, 4)), 'Raw Annual Revenue'!$A:X, 24, FALSE) / 4
</f>
        <v>166317</v>
      </c>
      <c r="Y33" s="43"/>
      <c r="Z33" s="43"/>
      <c r="AA33" s="43"/>
      <c r="AB33" s="43"/>
      <c r="AC33" s="43"/>
      <c r="AD33" s="43"/>
    </row>
    <row r="34">
      <c r="A34" s="42" t="s">
        <v>61</v>
      </c>
      <c r="B34" s="43"/>
      <c r="C34" s="46">
        <f>VLOOKUP(VALUE(LEFT(A34, 4)), 'Raw Annual Revenue'!A:C, 3, FALSE) / 4
</f>
        <v>228593</v>
      </c>
      <c r="D34" s="46">
        <f>VLOOKUP(VALUE(LEFT(A34, 4)), 'Raw Annual Revenue'!A:D, 4, FALSE) / 4
</f>
        <v>460753.25</v>
      </c>
      <c r="E34" s="46">
        <f>VLOOKUP(VALUE(LEFT(A34, 4)), 'Raw Annual Revenue'!A:E, 5, FALSE) / 4
</f>
        <v>10218.25</v>
      </c>
      <c r="F34" s="43"/>
      <c r="G34" s="43"/>
      <c r="H34" s="43"/>
      <c r="I34" s="43"/>
      <c r="J34" s="43"/>
      <c r="K34" s="43"/>
      <c r="L34" s="43"/>
      <c r="M34" s="43"/>
      <c r="N34" s="43"/>
      <c r="O34" s="47">
        <f>VLOOKUP(VALUE(LEFT(A36, 4)), 'Raw Annual Revenue'!A:O, 15, FALSE) / 4
</f>
        <v>997.5</v>
      </c>
      <c r="P34" s="43"/>
      <c r="Q34" s="43"/>
      <c r="R34" s="43"/>
      <c r="S34" s="43"/>
      <c r="T34" s="43"/>
      <c r="U34" s="43"/>
      <c r="V34" s="45"/>
      <c r="W34" s="43"/>
      <c r="X34" s="45">
        <f>VLOOKUP(VALUE(LEFT($A36, 4)), 'Raw Annual Revenue'!$A:X, 24, FALSE) / 4
</f>
        <v>166317</v>
      </c>
      <c r="Y34" s="43"/>
      <c r="Z34" s="43"/>
      <c r="AA34" s="43"/>
      <c r="AB34" s="43"/>
      <c r="AC34" s="43"/>
      <c r="AD34" s="43"/>
    </row>
    <row r="35">
      <c r="A35" s="42" t="s">
        <v>62</v>
      </c>
      <c r="B35" s="43"/>
      <c r="C35" s="46">
        <f>VLOOKUP(VALUE(LEFT(A35, 4)), 'Raw Annual Revenue'!A:C, 3, FALSE) / 4
</f>
        <v>240665</v>
      </c>
      <c r="D35" s="46">
        <f>VLOOKUP(VALUE(LEFT(A35, 4)), 'Raw Annual Revenue'!A:D, 4, FALSE) / 4
</f>
        <v>529863.75</v>
      </c>
      <c r="E35" s="46">
        <f>VLOOKUP(VALUE(LEFT(A35, 4)), 'Raw Annual Revenue'!A:E, 5, FALSE) / 4
</f>
        <v>16857</v>
      </c>
      <c r="F35" s="43"/>
      <c r="G35" s="43"/>
      <c r="H35" s="43"/>
      <c r="I35" s="43"/>
      <c r="J35" s="43"/>
      <c r="K35" s="43"/>
      <c r="L35" s="43"/>
      <c r="M35" s="43"/>
      <c r="N35" s="43"/>
      <c r="O35" s="47">
        <f>VLOOKUP(VALUE(LEFT(A37, 4)), 'Raw Annual Revenue'!A:O, 15, FALSE) / 4
</f>
        <v>997.5</v>
      </c>
      <c r="P35" s="43"/>
      <c r="Q35" s="43"/>
      <c r="R35" s="43"/>
      <c r="S35" s="43"/>
      <c r="T35" s="43"/>
      <c r="U35" s="43"/>
      <c r="V35" s="45"/>
      <c r="W35" s="43"/>
      <c r="X35" s="45">
        <f>VLOOKUP(VALUE(LEFT($A37, 4)), 'Raw Annual Revenue'!$A:X, 24, FALSE) / 4
</f>
        <v>166317</v>
      </c>
      <c r="Y35" s="43"/>
      <c r="Z35" s="43"/>
      <c r="AA35" s="43"/>
      <c r="AB35" s="43"/>
      <c r="AC35" s="43"/>
      <c r="AD35" s="43"/>
    </row>
    <row r="36">
      <c r="A36" s="42" t="s">
        <v>63</v>
      </c>
      <c r="B36" s="43"/>
      <c r="C36" s="46">
        <f>VLOOKUP(VALUE(LEFT(A36, 4)), 'Raw Annual Revenue'!A:C, 3, FALSE) / 4
</f>
        <v>240665</v>
      </c>
      <c r="D36" s="46">
        <f>VLOOKUP(VALUE(LEFT(A36, 4)), 'Raw Annual Revenue'!A:D, 4, FALSE) / 4
</f>
        <v>529863.75</v>
      </c>
      <c r="E36" s="46">
        <f>VLOOKUP(VALUE(LEFT(A36, 4)), 'Raw Annual Revenue'!A:E, 5, FALSE) / 4
</f>
        <v>16857</v>
      </c>
      <c r="F36" s="43"/>
      <c r="G36" s="43"/>
      <c r="H36" s="43"/>
      <c r="I36" s="43"/>
      <c r="J36" s="43"/>
      <c r="K36" s="43"/>
      <c r="L36" s="43"/>
      <c r="M36" s="43"/>
      <c r="N36" s="43"/>
      <c r="O36" s="47">
        <f>VLOOKUP(VALUE(LEFT(A38, 4)), 'Raw Annual Revenue'!A:O, 15, FALSE) / 4
</f>
        <v>997.5</v>
      </c>
      <c r="P36" s="43"/>
      <c r="Q36" s="43"/>
      <c r="R36" s="43"/>
      <c r="S36" s="43"/>
      <c r="T36" s="43"/>
      <c r="U36" s="43"/>
      <c r="V36" s="45"/>
      <c r="W36" s="43"/>
      <c r="X36" s="45">
        <f>VLOOKUP(VALUE(LEFT($A38, 4)), 'Raw Annual Revenue'!$A:X, 24, FALSE) / 4
</f>
        <v>166317</v>
      </c>
      <c r="Y36" s="43"/>
      <c r="Z36" s="43"/>
      <c r="AA36" s="43"/>
      <c r="AB36" s="43"/>
      <c r="AC36" s="43"/>
      <c r="AD36" s="43"/>
    </row>
    <row r="37">
      <c r="A37" s="42" t="s">
        <v>64</v>
      </c>
      <c r="B37" s="43"/>
      <c r="C37" s="46">
        <f>VLOOKUP(VALUE(LEFT(A37, 4)), 'Raw Annual Revenue'!A:C, 3, FALSE) / 4
</f>
        <v>240665</v>
      </c>
      <c r="D37" s="46">
        <f>VLOOKUP(VALUE(LEFT(A37, 4)), 'Raw Annual Revenue'!A:D, 4, FALSE) / 4
</f>
        <v>529863.75</v>
      </c>
      <c r="E37" s="46">
        <f>VLOOKUP(VALUE(LEFT(A37, 4)), 'Raw Annual Revenue'!A:E, 5, FALSE) / 4
</f>
        <v>16857</v>
      </c>
      <c r="F37" s="43"/>
      <c r="G37" s="43"/>
      <c r="H37" s="43"/>
      <c r="I37" s="43"/>
      <c r="J37" s="43"/>
      <c r="K37" s="43"/>
      <c r="L37" s="43"/>
      <c r="M37" s="43"/>
      <c r="N37" s="43"/>
      <c r="O37" s="47">
        <f>VLOOKUP(VALUE(LEFT(A39, 4)), 'Raw Annual Revenue'!A:O, 15, FALSE) / 4
</f>
        <v>2143.75</v>
      </c>
      <c r="P37" s="43"/>
      <c r="Q37" s="43"/>
      <c r="R37" s="43"/>
      <c r="S37" s="43"/>
      <c r="T37" s="43"/>
      <c r="U37" s="43"/>
      <c r="V37" s="45"/>
      <c r="W37" s="43"/>
      <c r="X37" s="45">
        <f>VLOOKUP(VALUE(LEFT($A39, 4)), 'Raw Annual Revenue'!$A:X, 24, FALSE) / 4
</f>
        <v>181152.5</v>
      </c>
      <c r="Y37" s="43"/>
      <c r="Z37" s="43"/>
      <c r="AA37" s="43"/>
      <c r="AB37" s="43"/>
      <c r="AC37" s="43"/>
      <c r="AD37" s="43"/>
    </row>
    <row r="38">
      <c r="A38" s="42" t="s">
        <v>65</v>
      </c>
      <c r="B38" s="43"/>
      <c r="C38" s="46">
        <f>VLOOKUP(VALUE(LEFT(A38, 4)), 'Raw Annual Revenue'!A:C, 3, FALSE) / 4
</f>
        <v>240665</v>
      </c>
      <c r="D38" s="46">
        <f>VLOOKUP(VALUE(LEFT(A38, 4)), 'Raw Annual Revenue'!A:D, 4, FALSE) / 4
</f>
        <v>529863.75</v>
      </c>
      <c r="E38" s="46">
        <f>VLOOKUP(VALUE(LEFT(A38, 4)), 'Raw Annual Revenue'!A:E, 5, FALSE) / 4
</f>
        <v>16857</v>
      </c>
      <c r="F38" s="43"/>
      <c r="G38" s="43"/>
      <c r="H38" s="43"/>
      <c r="I38" s="43"/>
      <c r="J38" s="43"/>
      <c r="K38" s="43"/>
      <c r="L38" s="43"/>
      <c r="M38" s="43"/>
      <c r="N38" s="43"/>
      <c r="O38" s="47">
        <f>VLOOKUP(VALUE(LEFT(A40, 4)), 'Raw Annual Revenue'!A:O, 15, FALSE) / 4
</f>
        <v>2143.75</v>
      </c>
      <c r="P38" s="43"/>
      <c r="Q38" s="43"/>
      <c r="R38" s="43"/>
      <c r="S38" s="43"/>
      <c r="T38" s="43"/>
      <c r="U38" s="43"/>
      <c r="V38" s="45"/>
      <c r="W38" s="43"/>
      <c r="X38" s="45">
        <f>VLOOKUP(VALUE(LEFT($A40, 4)), 'Raw Annual Revenue'!$A:X, 24, FALSE) / 4
</f>
        <v>181152.5</v>
      </c>
      <c r="Y38" s="43"/>
      <c r="Z38" s="43"/>
      <c r="AA38" s="43"/>
      <c r="AB38" s="43"/>
      <c r="AC38" s="43"/>
      <c r="AD38" s="43"/>
    </row>
    <row r="39">
      <c r="A39" s="42" t="s">
        <v>66</v>
      </c>
      <c r="B39" s="43"/>
      <c r="C39" s="46">
        <f>VLOOKUP(VALUE(LEFT(A39, 4)), 'Raw Annual Revenue'!A:C, 3, FALSE) / 4
</f>
        <v>280775.75</v>
      </c>
      <c r="D39" s="46">
        <f>VLOOKUP(VALUE(LEFT(A39, 4)), 'Raw Annual Revenue'!A:D, 4, FALSE) / 4
</f>
        <v>559396.5</v>
      </c>
      <c r="E39" s="46">
        <f>VLOOKUP(VALUE(LEFT(A39, 4)), 'Raw Annual Revenue'!A:E, 5, FALSE) / 4
</f>
        <v>25328.75</v>
      </c>
      <c r="F39" s="43"/>
      <c r="G39" s="43"/>
      <c r="H39" s="43"/>
      <c r="I39" s="43"/>
      <c r="J39" s="43"/>
      <c r="K39" s="43"/>
      <c r="L39" s="43"/>
      <c r="M39" s="43"/>
      <c r="N39" s="43"/>
      <c r="O39" s="47">
        <f>VLOOKUP(VALUE(LEFT(A41, 4)), 'Raw Annual Revenue'!A:O, 15, FALSE) / 4
</f>
        <v>2143.75</v>
      </c>
      <c r="P39" s="43"/>
      <c r="Q39" s="43"/>
      <c r="R39" s="43"/>
      <c r="S39" s="43"/>
      <c r="T39" s="43"/>
      <c r="U39" s="43"/>
      <c r="V39" s="45"/>
      <c r="W39" s="43"/>
      <c r="X39" s="45">
        <f>VLOOKUP(VALUE(LEFT($A41, 4)), 'Raw Annual Revenue'!$A:X, 24, FALSE) / 4
</f>
        <v>181152.5</v>
      </c>
      <c r="Y39" s="43"/>
      <c r="Z39" s="43"/>
      <c r="AA39" s="43"/>
      <c r="AB39" s="43"/>
      <c r="AC39" s="43"/>
      <c r="AD39" s="43"/>
    </row>
    <row r="40">
      <c r="A40" s="42" t="s">
        <v>67</v>
      </c>
      <c r="B40" s="43"/>
      <c r="C40" s="46">
        <f>VLOOKUP(VALUE(LEFT(A40, 4)), 'Raw Annual Revenue'!A:C, 3, FALSE) / 4
</f>
        <v>280775.75</v>
      </c>
      <c r="D40" s="46">
        <f>VLOOKUP(VALUE(LEFT(A40, 4)), 'Raw Annual Revenue'!A:D, 4, FALSE) / 4
</f>
        <v>559396.5</v>
      </c>
      <c r="E40" s="46">
        <f>VLOOKUP(VALUE(LEFT(A40, 4)), 'Raw Annual Revenue'!A:E, 5, FALSE) / 4
</f>
        <v>25328.75</v>
      </c>
      <c r="F40" s="43"/>
      <c r="G40" s="43"/>
      <c r="H40" s="43"/>
      <c r="I40" s="43"/>
      <c r="J40" s="43"/>
      <c r="K40" s="43"/>
      <c r="L40" s="43"/>
      <c r="M40" s="43"/>
      <c r="N40" s="43"/>
      <c r="O40" s="47">
        <f>VLOOKUP(VALUE(LEFT(A42, 4)), 'Raw Annual Revenue'!A:O, 15, FALSE) / 4
</f>
        <v>2143.75</v>
      </c>
      <c r="P40" s="43"/>
      <c r="Q40" s="43"/>
      <c r="R40" s="43"/>
      <c r="S40" s="43"/>
      <c r="T40" s="43"/>
      <c r="U40" s="43"/>
      <c r="V40" s="45"/>
      <c r="W40" s="43"/>
      <c r="X40" s="45">
        <f>VLOOKUP(VALUE(LEFT($A42, 4)), 'Raw Annual Revenue'!$A:X, 24, FALSE) / 4
</f>
        <v>181152.5</v>
      </c>
      <c r="Y40" s="43"/>
      <c r="Z40" s="43"/>
      <c r="AA40" s="43"/>
      <c r="AB40" s="43"/>
      <c r="AC40" s="43"/>
      <c r="AD40" s="43"/>
    </row>
    <row r="41">
      <c r="A41" s="42" t="s">
        <v>68</v>
      </c>
      <c r="B41" s="43"/>
      <c r="C41" s="46">
        <f>VLOOKUP(VALUE(LEFT(A41, 4)), 'Raw Annual Revenue'!A:C, 3, FALSE) / 4
</f>
        <v>280775.75</v>
      </c>
      <c r="D41" s="46">
        <f>VLOOKUP(VALUE(LEFT(A41, 4)), 'Raw Annual Revenue'!A:D, 4, FALSE) / 4
</f>
        <v>559396.5</v>
      </c>
      <c r="E41" s="46">
        <f>VLOOKUP(VALUE(LEFT(A41, 4)), 'Raw Annual Revenue'!A:E, 5, FALSE) / 4
</f>
        <v>25328.75</v>
      </c>
      <c r="F41" s="43"/>
      <c r="G41" s="43"/>
      <c r="H41" s="43"/>
      <c r="I41" s="43"/>
      <c r="J41" s="43"/>
      <c r="K41" s="43"/>
      <c r="L41" s="43"/>
      <c r="M41" s="43"/>
      <c r="N41" s="43"/>
      <c r="O41" s="47">
        <f>VLOOKUP(VALUE(LEFT(A43, 4)), 'Raw Annual Revenue'!A:O, 15, FALSE) / 4
</f>
        <v>3345.5</v>
      </c>
      <c r="P41" s="43"/>
      <c r="Q41" s="43"/>
      <c r="R41" s="43"/>
      <c r="S41" s="43"/>
      <c r="T41" s="43"/>
      <c r="U41" s="43"/>
      <c r="V41" s="45"/>
      <c r="W41" s="43"/>
      <c r="X41" s="45">
        <f>VLOOKUP(VALUE(LEFT($A43, 4)), 'Raw Annual Revenue'!$A:X, 24, FALSE) / 4
</f>
        <v>235890.5</v>
      </c>
      <c r="Y41" s="43"/>
      <c r="Z41" s="43"/>
      <c r="AA41" s="43"/>
      <c r="AB41" s="43"/>
      <c r="AC41" s="43"/>
      <c r="AD41" s="43"/>
    </row>
    <row r="42">
      <c r="A42" s="42" t="s">
        <v>69</v>
      </c>
      <c r="B42" s="43"/>
      <c r="C42" s="46">
        <f>VLOOKUP(VALUE(LEFT(A42, 4)), 'Raw Annual Revenue'!A:C, 3, FALSE) / 4
</f>
        <v>280775.75</v>
      </c>
      <c r="D42" s="46">
        <f>VLOOKUP(VALUE(LEFT(A42, 4)), 'Raw Annual Revenue'!A:D, 4, FALSE) / 4
</f>
        <v>559396.5</v>
      </c>
      <c r="E42" s="46">
        <f>VLOOKUP(VALUE(LEFT(A42, 4)), 'Raw Annual Revenue'!A:E, 5, FALSE) / 4
</f>
        <v>25328.75</v>
      </c>
      <c r="F42" s="43"/>
      <c r="G42" s="43"/>
      <c r="H42" s="43"/>
      <c r="I42" s="43"/>
      <c r="J42" s="43"/>
      <c r="K42" s="43"/>
      <c r="L42" s="43"/>
      <c r="M42" s="43"/>
      <c r="N42" s="43"/>
      <c r="O42" s="47">
        <f>VLOOKUP(VALUE(LEFT(A44, 4)), 'Raw Annual Revenue'!A:O, 15, FALSE) / 4
</f>
        <v>3345.5</v>
      </c>
      <c r="P42" s="43"/>
      <c r="Q42" s="43"/>
      <c r="R42" s="43"/>
      <c r="S42" s="43"/>
      <c r="T42" s="43"/>
      <c r="U42" s="43"/>
      <c r="V42" s="45"/>
      <c r="W42" s="43"/>
      <c r="X42" s="45">
        <f>VLOOKUP(VALUE(LEFT($A44, 4)), 'Raw Annual Revenue'!$A:X, 24, FALSE) / 4
</f>
        <v>235890.5</v>
      </c>
      <c r="Y42" s="43"/>
      <c r="Z42" s="43"/>
      <c r="AA42" s="43"/>
      <c r="AB42" s="43"/>
      <c r="AC42" s="43"/>
      <c r="AD42" s="43"/>
    </row>
    <row r="43">
      <c r="A43" s="42" t="s">
        <v>70</v>
      </c>
      <c r="B43" s="43"/>
      <c r="C43" s="46">
        <f>VLOOKUP(VALUE(LEFT(A43, 4)), 'Raw Annual Revenue'!A:C, 3, FALSE) / 4
</f>
        <v>352352.25</v>
      </c>
      <c r="D43" s="46">
        <f>VLOOKUP(VALUE(LEFT(A43, 4)), 'Raw Annual Revenue'!A:D, 4, FALSE) / 4
</f>
        <v>666333</v>
      </c>
      <c r="E43" s="46">
        <f>VLOOKUP(VALUE(LEFT(A43, 4)), 'Raw Annual Revenue'!A:E, 5, FALSE) / 4
</f>
        <v>42247.75</v>
      </c>
      <c r="F43" s="43"/>
      <c r="G43" s="43"/>
      <c r="H43" s="43"/>
      <c r="I43" s="43"/>
      <c r="J43" s="43"/>
      <c r="K43" s="43"/>
      <c r="L43" s="43"/>
      <c r="M43" s="43"/>
      <c r="N43" s="43"/>
      <c r="O43" s="47">
        <f>VLOOKUP(VALUE(LEFT(A45, 4)), 'Raw Annual Revenue'!A:O, 15, FALSE) / 4
</f>
        <v>3345.5</v>
      </c>
      <c r="P43" s="43"/>
      <c r="Q43" s="43"/>
      <c r="R43" s="43"/>
      <c r="S43" s="43"/>
      <c r="T43" s="43"/>
      <c r="U43" s="43"/>
      <c r="V43" s="45"/>
      <c r="W43" s="43"/>
      <c r="X43" s="45">
        <f>VLOOKUP(VALUE(LEFT($A45, 4)), 'Raw Annual Revenue'!$A:X, 24, FALSE) / 4
</f>
        <v>235890.5</v>
      </c>
      <c r="Y43" s="43"/>
      <c r="Z43" s="43"/>
      <c r="AA43" s="43"/>
      <c r="AB43" s="43"/>
      <c r="AC43" s="43"/>
      <c r="AD43" s="43"/>
    </row>
    <row r="44">
      <c r="A44" s="42" t="s">
        <v>71</v>
      </c>
      <c r="B44" s="43"/>
      <c r="C44" s="46">
        <f>VLOOKUP(VALUE(LEFT(A44, 4)), 'Raw Annual Revenue'!A:C, 3, FALSE) / 4
</f>
        <v>352352.25</v>
      </c>
      <c r="D44" s="46">
        <f>VLOOKUP(VALUE(LEFT(A44, 4)), 'Raw Annual Revenue'!A:D, 4, FALSE) / 4
</f>
        <v>666333</v>
      </c>
      <c r="E44" s="46">
        <f>VLOOKUP(VALUE(LEFT(A44, 4)), 'Raw Annual Revenue'!A:E, 5, FALSE) / 4
</f>
        <v>42247.75</v>
      </c>
      <c r="F44" s="43"/>
      <c r="G44" s="43"/>
      <c r="H44" s="43"/>
      <c r="I44" s="43"/>
      <c r="J44" s="43"/>
      <c r="K44" s="43"/>
      <c r="L44" s="43"/>
      <c r="M44" s="43"/>
      <c r="N44" s="43"/>
      <c r="O44" s="47">
        <f>VLOOKUP(VALUE(LEFT(A46, 4)), 'Raw Annual Revenue'!A:O, 15, FALSE) / 4
</f>
        <v>3345.5</v>
      </c>
      <c r="P44" s="43"/>
      <c r="Q44" s="43"/>
      <c r="R44" s="43"/>
      <c r="S44" s="43"/>
      <c r="T44" s="43"/>
      <c r="U44" s="43"/>
      <c r="V44" s="45">
        <f>VLOOKUP(VALUE(LEFT($A44, 4)), 'Raw Annual Revenue'!$A:V, 22, FALSE) / 4
</f>
        <v>214750</v>
      </c>
      <c r="W44" s="43"/>
      <c r="X44" s="45">
        <f>VLOOKUP(VALUE(LEFT($A46, 4)), 'Raw Annual Revenue'!$A:X, 24, FALSE) / 4
</f>
        <v>235890.5</v>
      </c>
      <c r="Y44" s="43"/>
      <c r="Z44" s="43"/>
      <c r="AA44" s="43"/>
      <c r="AB44" s="43"/>
      <c r="AC44" s="43"/>
      <c r="AD44" s="43"/>
    </row>
    <row r="45">
      <c r="A45" s="42" t="s">
        <v>72</v>
      </c>
      <c r="B45" s="43"/>
      <c r="C45" s="46">
        <f>VLOOKUP(VALUE(LEFT(A45, 4)), 'Raw Annual Revenue'!A:C, 3, FALSE) / 4
</f>
        <v>352352.25</v>
      </c>
      <c r="D45" s="46">
        <f>VLOOKUP(VALUE(LEFT(A45, 4)), 'Raw Annual Revenue'!A:D, 4, FALSE) / 4
</f>
        <v>666333</v>
      </c>
      <c r="E45" s="46">
        <f>VLOOKUP(VALUE(LEFT(A45, 4)), 'Raw Annual Revenue'!A:E, 5, FALSE) / 4
</f>
        <v>42247.75</v>
      </c>
      <c r="F45" s="43"/>
      <c r="G45" s="43"/>
      <c r="H45" s="43"/>
      <c r="I45" s="43"/>
      <c r="J45" s="43"/>
      <c r="K45" s="43"/>
      <c r="L45" s="43"/>
      <c r="M45" s="43"/>
      <c r="N45" s="43"/>
      <c r="O45" s="47">
        <f>VLOOKUP(VALUE(LEFT(A47, 4)), 'Raw Annual Revenue'!A:O, 15, FALSE) / 4
</f>
        <v>5661</v>
      </c>
      <c r="P45" s="43"/>
      <c r="Q45" s="43"/>
      <c r="R45" s="43"/>
      <c r="S45" s="43"/>
      <c r="T45" s="43"/>
      <c r="U45" s="43"/>
      <c r="V45" s="45">
        <f>VLOOKUP(VALUE(LEFT($A45, 4)), 'Raw Annual Revenue'!$A:V, 22, FALSE) / 4
</f>
        <v>214750</v>
      </c>
      <c r="W45" s="43"/>
      <c r="X45" s="45">
        <f>VLOOKUP(VALUE(LEFT($A47, 4)), 'Raw Annual Revenue'!$A:X, 24, FALSE) / 4
</f>
        <v>346804.75</v>
      </c>
      <c r="Y45" s="43"/>
      <c r="Z45" s="43"/>
      <c r="AA45" s="43"/>
      <c r="AB45" s="43"/>
      <c r="AC45" s="43"/>
      <c r="AD45" s="43"/>
    </row>
    <row r="46">
      <c r="A46" s="42" t="s">
        <v>73</v>
      </c>
      <c r="B46" s="43"/>
      <c r="C46" s="46">
        <f>VLOOKUP(VALUE(LEFT(A46, 4)), 'Raw Annual Revenue'!A:C, 3, FALSE) / 4
</f>
        <v>352352.25</v>
      </c>
      <c r="D46" s="46">
        <f>VLOOKUP(VALUE(LEFT(A46, 4)), 'Raw Annual Revenue'!A:D, 4, FALSE) / 4
</f>
        <v>666333</v>
      </c>
      <c r="E46" s="46">
        <f>VLOOKUP(VALUE(LEFT(A46, 4)), 'Raw Annual Revenue'!A:E, 5, FALSE) / 4
</f>
        <v>42247.75</v>
      </c>
      <c r="F46" s="43"/>
      <c r="G46" s="43"/>
      <c r="H46" s="43"/>
      <c r="I46" s="43"/>
      <c r="J46" s="43"/>
      <c r="K46" s="43"/>
      <c r="L46" s="43"/>
      <c r="M46" s="43"/>
      <c r="N46" s="43"/>
      <c r="O46" s="47">
        <f>VLOOKUP(VALUE(LEFT(A48, 4)), 'Raw Annual Revenue'!A:O, 15, FALSE) / 4
</f>
        <v>5661</v>
      </c>
      <c r="P46" s="43"/>
      <c r="Q46" s="43"/>
      <c r="R46" s="43"/>
      <c r="S46" s="43"/>
      <c r="T46" s="43"/>
      <c r="U46" s="43"/>
      <c r="V46" s="45">
        <f>VLOOKUP(VALUE(LEFT($A46, 4)), 'Raw Annual Revenue'!$A:V, 22, FALSE) / 4
</f>
        <v>214750</v>
      </c>
      <c r="W46" s="43"/>
      <c r="X46" s="45">
        <f>VLOOKUP(VALUE(LEFT($A48, 4)), 'Raw Annual Revenue'!$A:X, 24, FALSE) / 4
</f>
        <v>346804.75</v>
      </c>
      <c r="Y46" s="43"/>
      <c r="Z46" s="43"/>
      <c r="AA46" s="43"/>
      <c r="AB46" s="43"/>
      <c r="AC46" s="43"/>
      <c r="AD46" s="43"/>
    </row>
    <row r="47">
      <c r="A47" s="42" t="s">
        <v>74</v>
      </c>
      <c r="B47" s="43"/>
      <c r="C47" s="46">
        <f>VLOOKUP(VALUE(LEFT(A47, 4)), 'Raw Annual Revenue'!A:C, 3, FALSE) / 4
</f>
        <v>471201.5</v>
      </c>
      <c r="D47" s="46">
        <f>VLOOKUP(VALUE(LEFT(A47, 4)), 'Raw Annual Revenue'!A:D, 4, FALSE) / 4
</f>
        <v>734253.25</v>
      </c>
      <c r="E47" s="46">
        <f>VLOOKUP(VALUE(LEFT(A47, 4)), 'Raw Annual Revenue'!A:E, 5, FALSE) / 4
</f>
        <v>56219.5</v>
      </c>
      <c r="F47" s="43"/>
      <c r="G47" s="43"/>
      <c r="H47" s="43"/>
      <c r="I47" s="43"/>
      <c r="J47" s="43"/>
      <c r="K47" s="43"/>
      <c r="L47" s="43"/>
      <c r="M47" s="43"/>
      <c r="N47" s="43"/>
      <c r="O47" s="47">
        <f>VLOOKUP(VALUE(LEFT(A49, 4)), 'Raw Annual Revenue'!A:O, 15, FALSE) / 4
</f>
        <v>5661</v>
      </c>
      <c r="P47" s="43"/>
      <c r="Q47" s="43"/>
      <c r="R47" s="43"/>
      <c r="S47" s="43"/>
      <c r="T47" s="43"/>
      <c r="U47" s="43"/>
      <c r="V47" s="45">
        <f>VLOOKUP(VALUE(LEFT($A47, 4)), 'Raw Annual Revenue'!$A:V, 22, FALSE) / 4
</f>
        <v>217500</v>
      </c>
      <c r="W47" s="43"/>
      <c r="X47" s="45">
        <f>VLOOKUP(VALUE(LEFT($A49, 4)), 'Raw Annual Revenue'!$A:X, 24, FALSE) / 4
</f>
        <v>346804.75</v>
      </c>
      <c r="Y47" s="43"/>
      <c r="Z47" s="43"/>
      <c r="AA47" s="43"/>
      <c r="AB47" s="43"/>
      <c r="AC47" s="43"/>
      <c r="AD47" s="43"/>
    </row>
    <row r="48">
      <c r="A48" s="42" t="s">
        <v>75</v>
      </c>
      <c r="B48" s="43"/>
      <c r="C48" s="46">
        <f>VLOOKUP(VALUE(LEFT(A48, 4)), 'Raw Annual Revenue'!A:C, 3, FALSE) / 4
</f>
        <v>471201.5</v>
      </c>
      <c r="D48" s="46">
        <f>VLOOKUP(VALUE(LEFT(A48, 4)), 'Raw Annual Revenue'!A:D, 4, FALSE) / 4
</f>
        <v>734253.25</v>
      </c>
      <c r="E48" s="46">
        <f>VLOOKUP(VALUE(LEFT(A48, 4)), 'Raw Annual Revenue'!A:E, 5, FALSE) / 4
</f>
        <v>56219.5</v>
      </c>
      <c r="F48" s="43"/>
      <c r="G48" s="43"/>
      <c r="H48" s="43"/>
      <c r="I48" s="43"/>
      <c r="J48" s="49">
        <f>VLOOKUP(VALUE(LEFT(A51, 4)), 'Raw Annual Revenue'!A:J, 10, FALSE) / 4</f>
        <v>17138</v>
      </c>
      <c r="K48" s="43"/>
      <c r="L48" s="43"/>
      <c r="M48" s="43"/>
      <c r="N48" s="43"/>
      <c r="O48" s="47">
        <f>VLOOKUP(VALUE(LEFT(A50, 4)), 'Raw Annual Revenue'!A:O, 15, FALSE) / 4
</f>
        <v>5661</v>
      </c>
      <c r="P48" s="43"/>
      <c r="Q48" s="43"/>
      <c r="R48" s="43"/>
      <c r="S48" s="43"/>
      <c r="T48" s="43"/>
      <c r="U48" s="43"/>
      <c r="V48" s="45">
        <f>VLOOKUP(VALUE(LEFT($A48, 4)), 'Raw Annual Revenue'!$A:V, 22, FALSE) / 4
</f>
        <v>217500</v>
      </c>
      <c r="W48" s="43"/>
      <c r="X48" s="45">
        <f>VLOOKUP(VALUE(LEFT($A50, 4)), 'Raw Annual Revenue'!$A:X, 24, FALSE) / 4
</f>
        <v>346804.75</v>
      </c>
      <c r="Y48" s="43"/>
      <c r="Z48" s="43"/>
      <c r="AA48" s="43"/>
      <c r="AB48" s="43"/>
      <c r="AC48" s="43"/>
      <c r="AD48" s="43"/>
    </row>
    <row r="49">
      <c r="A49" s="42" t="s">
        <v>76</v>
      </c>
      <c r="B49" s="43"/>
      <c r="C49" s="46">
        <f>VLOOKUP(VALUE(LEFT(A49, 4)), 'Raw Annual Revenue'!A:C, 3, FALSE) / 4
</f>
        <v>471201.5</v>
      </c>
      <c r="D49" s="46">
        <f>VLOOKUP(VALUE(LEFT(A49, 4)), 'Raw Annual Revenue'!A:D, 4, FALSE) / 4
</f>
        <v>734253.25</v>
      </c>
      <c r="E49" s="46">
        <f>VLOOKUP(VALUE(LEFT(A49, 4)), 'Raw Annual Revenue'!A:E, 5, FALSE) / 4
</f>
        <v>56219.5</v>
      </c>
      <c r="F49" s="43"/>
      <c r="G49" s="43"/>
      <c r="H49" s="43"/>
      <c r="I49" s="43"/>
      <c r="J49" s="46">
        <f>VLOOKUP(VALUE(LEFT(A52, 4)), 'Raw Annual Revenue'!A:J, 10, FALSE) / 4</f>
        <v>17138</v>
      </c>
      <c r="K49" s="43"/>
      <c r="L49" s="43"/>
      <c r="M49" s="43"/>
      <c r="N49" s="43"/>
      <c r="O49" s="47">
        <f>VLOOKUP(VALUE(LEFT(A51, 4)), 'Raw Annual Revenue'!A:O, 15, FALSE) / 4
</f>
        <v>5749.25</v>
      </c>
      <c r="P49" s="43"/>
      <c r="Q49" s="43"/>
      <c r="R49" s="43"/>
      <c r="S49" s="43"/>
      <c r="T49" s="43"/>
      <c r="U49" s="43"/>
      <c r="V49" s="45">
        <f>VLOOKUP(VALUE(LEFT($A49, 4)), 'Raw Annual Revenue'!$A:V, 22, FALSE) / 4
</f>
        <v>217500</v>
      </c>
      <c r="W49" s="43"/>
      <c r="X49" s="45">
        <f>VLOOKUP(VALUE(LEFT($A51, 4)), 'Raw Annual Revenue'!$A:X, 24, FALSE) / 4
</f>
        <v>339452.5</v>
      </c>
      <c r="Y49" s="43"/>
      <c r="Z49" s="43"/>
      <c r="AA49" s="43"/>
      <c r="AB49" s="43"/>
      <c r="AC49" s="43"/>
      <c r="AD49" s="43"/>
    </row>
    <row r="50">
      <c r="A50" s="42" t="s">
        <v>77</v>
      </c>
      <c r="B50" s="43"/>
      <c r="C50" s="46">
        <f>VLOOKUP(VALUE(LEFT(A50, 4)), 'Raw Annual Revenue'!A:C, 3, FALSE) / 4
</f>
        <v>471201.5</v>
      </c>
      <c r="D50" s="46">
        <f>VLOOKUP(VALUE(LEFT(A50, 4)), 'Raw Annual Revenue'!A:D, 4, FALSE) / 4
</f>
        <v>734253.25</v>
      </c>
      <c r="E50" s="46">
        <f>VLOOKUP(VALUE(LEFT(A50, 4)), 'Raw Annual Revenue'!A:E, 5, FALSE) / 4
</f>
        <v>56219.5</v>
      </c>
      <c r="F50" s="43"/>
      <c r="G50" s="43"/>
      <c r="H50" s="43"/>
      <c r="I50" s="43"/>
      <c r="J50" s="46">
        <f>VLOOKUP(VALUE(LEFT(A53, 4)), 'Raw Annual Revenue'!A:J, 10, FALSE) / 4</f>
        <v>17138</v>
      </c>
      <c r="K50" s="43"/>
      <c r="L50" s="43"/>
      <c r="M50" s="43"/>
      <c r="N50" s="43"/>
      <c r="O50" s="47">
        <f>VLOOKUP(VALUE(LEFT(A52, 4)), 'Raw Annual Revenue'!A:O, 15, FALSE) / 4
</f>
        <v>5749.25</v>
      </c>
      <c r="P50" s="43"/>
      <c r="Q50" s="43"/>
      <c r="R50" s="43"/>
      <c r="S50" s="43"/>
      <c r="T50" s="43"/>
      <c r="U50" s="43"/>
      <c r="V50" s="45">
        <f>VLOOKUP(VALUE(LEFT($A50, 4)), 'Raw Annual Revenue'!$A:V, 22, FALSE) / 4
</f>
        <v>217500</v>
      </c>
      <c r="W50" s="43"/>
      <c r="X50" s="45">
        <f>VLOOKUP(VALUE(LEFT($A52, 4)), 'Raw Annual Revenue'!$A:X, 24, FALSE) / 4
</f>
        <v>339452.5</v>
      </c>
      <c r="Y50" s="43"/>
      <c r="Z50" s="43"/>
      <c r="AA50" s="43"/>
      <c r="AB50" s="43"/>
      <c r="AC50" s="43"/>
      <c r="AD50" s="43"/>
    </row>
    <row r="51">
      <c r="A51" s="42" t="s">
        <v>78</v>
      </c>
      <c r="B51" s="43"/>
      <c r="C51" s="46">
        <f>VLOOKUP(VALUE(LEFT(A51, 4)), 'Raw Annual Revenue'!A:C, 3, FALSE) / 4
</f>
        <v>584553</v>
      </c>
      <c r="D51" s="46">
        <f>VLOOKUP(VALUE(LEFT(A51, 4)), 'Raw Annual Revenue'!A:D, 4, FALSE) / 4
</f>
        <v>685762.75</v>
      </c>
      <c r="E51" s="46">
        <f>VLOOKUP(VALUE(LEFT(A51, 4)), 'Raw Annual Revenue'!A:E, 5, FALSE) / 4
</f>
        <v>75012.75</v>
      </c>
      <c r="F51" s="46">
        <f>VLOOKUP(VALUE(LEFT(A51, 4)), 'Raw Annual Revenue'!A:F, 6, FALSE) / 4</f>
        <v>88022.25</v>
      </c>
      <c r="G51" s="46"/>
      <c r="H51" s="46"/>
      <c r="I51" s="46"/>
      <c r="J51" s="46">
        <f>VLOOKUP(VALUE(LEFT(A54, 4)), 'Raw Annual Revenue'!A:J, 10, FALSE) / 4</f>
        <v>17138</v>
      </c>
      <c r="K51" s="43"/>
      <c r="L51" s="46">
        <f>VLOOKUP(VALUE(LEFT($A51, 4)), 'Raw Annual Revenue'!$A:L, 12, FALSE) / 4</f>
        <v>47420.75</v>
      </c>
      <c r="M51" s="43"/>
      <c r="N51" s="43"/>
      <c r="O51" s="47">
        <f>VLOOKUP(VALUE(LEFT(A53, 4)), 'Raw Annual Revenue'!A:O, 15, FALSE) / 4
</f>
        <v>5749.25</v>
      </c>
      <c r="P51" s="43"/>
      <c r="Q51" s="43"/>
      <c r="R51" s="43"/>
      <c r="S51" s="43"/>
      <c r="T51" s="43"/>
      <c r="U51" s="43"/>
      <c r="V51" s="45">
        <f>VLOOKUP(VALUE(LEFT($A51, 4)), 'Raw Annual Revenue'!$A:V, 22, FALSE) / 4
</f>
        <v>184500</v>
      </c>
      <c r="W51" s="43"/>
      <c r="X51" s="45">
        <f>VLOOKUP(VALUE(LEFT($A53, 4)), 'Raw Annual Revenue'!$A:X, 24, FALSE) / 4
</f>
        <v>339452.5</v>
      </c>
      <c r="Y51" s="43"/>
      <c r="Z51" s="43"/>
      <c r="AA51" s="43"/>
      <c r="AB51" s="43"/>
      <c r="AC51" s="43"/>
      <c r="AD51" s="43"/>
    </row>
    <row r="52">
      <c r="A52" s="42" t="s">
        <v>79</v>
      </c>
      <c r="B52" s="43"/>
      <c r="C52" s="46">
        <f>VLOOKUP(VALUE(LEFT(A52, 4)), 'Raw Annual Revenue'!A:C, 3, FALSE) / 4
</f>
        <v>584553</v>
      </c>
      <c r="D52" s="46">
        <f>VLOOKUP(VALUE(LEFT(A52, 4)), 'Raw Annual Revenue'!A:D, 4, FALSE) / 4
</f>
        <v>685762.75</v>
      </c>
      <c r="E52" s="46">
        <f>VLOOKUP(VALUE(LEFT(A52, 4)), 'Raw Annual Revenue'!A:E, 5, FALSE) / 4
</f>
        <v>75012.75</v>
      </c>
      <c r="F52" s="46">
        <f>VLOOKUP(VALUE(LEFT(A52, 4)), 'Raw Annual Revenue'!A:F, 6, FALSE) / 4</f>
        <v>88022.25</v>
      </c>
      <c r="G52" s="43"/>
      <c r="H52" s="43"/>
      <c r="I52" s="43"/>
      <c r="J52" s="46">
        <f>VLOOKUP(VALUE(LEFT(A55, 4)), 'Raw Annual Revenue'!A:J, 10, FALSE) / 4</f>
        <v>20890</v>
      </c>
      <c r="K52" s="43"/>
      <c r="L52" s="46">
        <f>VLOOKUP(VALUE(LEFT($A52, 4)), 'Raw Annual Revenue'!$A:L, 12, FALSE) / 4</f>
        <v>47420.75</v>
      </c>
      <c r="M52" s="43"/>
      <c r="N52" s="43"/>
      <c r="O52" s="47">
        <f>VLOOKUP(VALUE(LEFT(A54, 4)), 'Raw Annual Revenue'!A:O, 15, FALSE) / 4
</f>
        <v>5749.25</v>
      </c>
      <c r="P52" s="43"/>
      <c r="Q52" s="43"/>
      <c r="R52" s="43"/>
      <c r="S52" s="43"/>
      <c r="T52" s="43"/>
      <c r="U52" s="43"/>
      <c r="V52" s="45">
        <f>VLOOKUP(VALUE(LEFT($A52, 4)), 'Raw Annual Revenue'!$A:V, 22, FALSE) / 4
</f>
        <v>184500</v>
      </c>
      <c r="W52" s="43"/>
      <c r="X52" s="45">
        <f>VLOOKUP(VALUE(LEFT($A54, 4)), 'Raw Annual Revenue'!$A:X, 24, FALSE) / 4
</f>
        <v>339452.5</v>
      </c>
      <c r="Y52" s="43"/>
      <c r="Z52" s="43"/>
      <c r="AA52" s="43"/>
      <c r="AB52" s="43"/>
      <c r="AC52" s="43"/>
      <c r="AD52" s="43"/>
    </row>
    <row r="53">
      <c r="A53" s="42" t="s">
        <v>80</v>
      </c>
      <c r="B53" s="43"/>
      <c r="C53" s="46">
        <f>VLOOKUP(VALUE(LEFT(A53, 4)), 'Raw Annual Revenue'!A:C, 3, FALSE) / 4
</f>
        <v>584553</v>
      </c>
      <c r="D53" s="46">
        <f>VLOOKUP(VALUE(LEFT(A53, 4)), 'Raw Annual Revenue'!A:D, 4, FALSE) / 4
</f>
        <v>685762.75</v>
      </c>
      <c r="E53" s="46">
        <f>VLOOKUP(VALUE(LEFT(A53, 4)), 'Raw Annual Revenue'!A:E, 5, FALSE) / 4
</f>
        <v>75012.75</v>
      </c>
      <c r="F53" s="46">
        <f>VLOOKUP(VALUE(LEFT(A53, 4)), 'Raw Annual Revenue'!A:F, 6, FALSE) / 4</f>
        <v>88022.25</v>
      </c>
      <c r="G53" s="43"/>
      <c r="H53" s="43"/>
      <c r="I53" s="43"/>
      <c r="J53" s="46">
        <f>VLOOKUP(VALUE(LEFT(A56, 4)), 'Raw Annual Revenue'!A:J, 10, FALSE) / 4</f>
        <v>20890</v>
      </c>
      <c r="K53" s="43"/>
      <c r="L53" s="46">
        <f>VLOOKUP(VALUE(LEFT($A53, 4)), 'Raw Annual Revenue'!$A:L, 12, FALSE) / 4</f>
        <v>47420.75</v>
      </c>
      <c r="M53" s="43"/>
      <c r="N53" s="43"/>
      <c r="O53" s="47">
        <f>VLOOKUP(VALUE(LEFT(A55, 4)), 'Raw Annual Revenue'!A:O, 15, FALSE) / 4
</f>
        <v>7913.25</v>
      </c>
      <c r="P53" s="43"/>
      <c r="Q53" s="43"/>
      <c r="R53" s="43"/>
      <c r="S53" s="43"/>
      <c r="T53" s="43"/>
      <c r="U53" s="43"/>
      <c r="V53" s="45">
        <f>VLOOKUP(VALUE(LEFT($A53, 4)), 'Raw Annual Revenue'!$A:V, 22, FALSE) / 4
</f>
        <v>184500</v>
      </c>
      <c r="W53" s="43"/>
      <c r="X53" s="45">
        <f>VLOOKUP(VALUE(LEFT($A55, 4)), 'Raw Annual Revenue'!$A:X, 24, FALSE) / 4
</f>
        <v>375805</v>
      </c>
      <c r="Y53" s="43"/>
      <c r="Z53" s="43"/>
      <c r="AA53" s="43"/>
      <c r="AB53" s="43"/>
      <c r="AC53" s="43"/>
      <c r="AD53" s="43"/>
    </row>
    <row r="54">
      <c r="A54" s="42" t="s">
        <v>81</v>
      </c>
      <c r="B54" s="43"/>
      <c r="C54" s="46">
        <f>VLOOKUP(VALUE(LEFT(A54, 4)), 'Raw Annual Revenue'!A:C, 3, FALSE) / 4
</f>
        <v>584553</v>
      </c>
      <c r="D54" s="46">
        <f>VLOOKUP(VALUE(LEFT(A54, 4)), 'Raw Annual Revenue'!A:D, 4, FALSE) / 4
</f>
        <v>685762.75</v>
      </c>
      <c r="E54" s="46">
        <f>VLOOKUP(VALUE(LEFT(A54, 4)), 'Raw Annual Revenue'!A:E, 5, FALSE) / 4
</f>
        <v>75012.75</v>
      </c>
      <c r="F54" s="46">
        <f>VLOOKUP(VALUE(LEFT(A54, 4)), 'Raw Annual Revenue'!A:F, 6, FALSE) / 4</f>
        <v>88022.25</v>
      </c>
      <c r="G54" s="43"/>
      <c r="H54" s="43"/>
      <c r="I54" s="43"/>
      <c r="J54" s="46">
        <f>VLOOKUP(VALUE(LEFT(A57, 4)), 'Raw Annual Revenue'!A:J, 10, FALSE) / 4</f>
        <v>20890</v>
      </c>
      <c r="K54" s="43"/>
      <c r="L54" s="46">
        <f>VLOOKUP(VALUE(LEFT($A54, 4)), 'Raw Annual Revenue'!$A:L, 12, FALSE) / 4</f>
        <v>47420.75</v>
      </c>
      <c r="M54" s="43"/>
      <c r="N54" s="43"/>
      <c r="O54" s="47">
        <f>VLOOKUP(VALUE(LEFT(A56, 4)), 'Raw Annual Revenue'!A:O, 15, FALSE) / 4
</f>
        <v>7913.25</v>
      </c>
      <c r="P54" s="43"/>
      <c r="Q54" s="43"/>
      <c r="R54" s="43"/>
      <c r="S54" s="43"/>
      <c r="T54" s="43"/>
      <c r="U54" s="43"/>
      <c r="V54" s="45">
        <f>VLOOKUP(VALUE(LEFT($A54, 4)), 'Raw Annual Revenue'!$A:V, 22, FALSE) / 4
</f>
        <v>184500</v>
      </c>
      <c r="W54" s="43"/>
      <c r="X54" s="45">
        <f>VLOOKUP(VALUE(LEFT($A56, 4)), 'Raw Annual Revenue'!$A:X, 24, FALSE) / 4
</f>
        <v>375805</v>
      </c>
      <c r="Y54" s="43"/>
      <c r="Z54" s="43"/>
      <c r="AA54" s="43"/>
      <c r="AB54" s="43"/>
      <c r="AC54" s="43"/>
      <c r="AD54" s="43"/>
    </row>
    <row r="55">
      <c r="A55" s="42" t="s">
        <v>82</v>
      </c>
      <c r="B55" s="43"/>
      <c r="C55" s="46">
        <f>VLOOKUP(VALUE(LEFT(A55, 4)), 'Raw Annual Revenue'!A:C, 3, FALSE) / 4
</f>
        <v>771226.25</v>
      </c>
      <c r="D55" s="46">
        <f>VLOOKUP(VALUE(LEFT(A55, 4)), 'Raw Annual Revenue'!A:D, 4, FALSE) / 4
</f>
        <v>758411.25</v>
      </c>
      <c r="E55" s="46">
        <f>VLOOKUP(VALUE(LEFT(A55, 4)), 'Raw Annual Revenue'!A:E, 5, FALSE) / 4
</f>
        <v>112500.25</v>
      </c>
      <c r="F55" s="46">
        <f>VLOOKUP(VALUE(LEFT(A55, 4)), 'Raw Annual Revenue'!A:F, 6, FALSE) / 4</f>
        <v>121158.75</v>
      </c>
      <c r="G55" s="43"/>
      <c r="H55" s="43"/>
      <c r="I55" s="43"/>
      <c r="J55" s="46">
        <f>VLOOKUP(VALUE(LEFT(A58, 4)), 'Raw Annual Revenue'!A:J, 10, FALSE) / 4</f>
        <v>20890</v>
      </c>
      <c r="K55" s="43"/>
      <c r="L55" s="46">
        <f>VLOOKUP(VALUE(LEFT($A55, 4)), 'Raw Annual Revenue'!$A:L, 12, FALSE) / 4</f>
        <v>66336.75</v>
      </c>
      <c r="M55" s="43"/>
      <c r="N55" s="43"/>
      <c r="O55" s="47">
        <f>VLOOKUP(VALUE(LEFT(A57, 4)), 'Raw Annual Revenue'!A:O, 15, FALSE) / 4
</f>
        <v>7913.25</v>
      </c>
      <c r="P55" s="43"/>
      <c r="Q55" s="43"/>
      <c r="R55" s="43"/>
      <c r="S55" s="43"/>
      <c r="T55" s="43"/>
      <c r="U55" s="43"/>
      <c r="V55" s="45">
        <f>VLOOKUP(VALUE(LEFT($A55, 4)), 'Raw Annual Revenue'!$A:V, 22, FALSE) / 4
</f>
        <v>189371.75</v>
      </c>
      <c r="W55" s="43"/>
      <c r="X55" s="45">
        <f>VLOOKUP(VALUE(LEFT($A57, 4)), 'Raw Annual Revenue'!$A:X, 24, FALSE) / 4
</f>
        <v>375805</v>
      </c>
      <c r="Y55" s="43"/>
      <c r="Z55" s="43"/>
      <c r="AA55" s="43"/>
      <c r="AB55" s="43"/>
      <c r="AC55" s="43"/>
      <c r="AD55" s="43"/>
    </row>
    <row r="56">
      <c r="A56" s="42" t="s">
        <v>83</v>
      </c>
      <c r="B56" s="43"/>
      <c r="C56" s="46">
        <f>VLOOKUP(VALUE(LEFT(A56, 4)), 'Raw Annual Revenue'!A:C, 3, FALSE) / 4
</f>
        <v>771226.25</v>
      </c>
      <c r="D56" s="46">
        <f>VLOOKUP(VALUE(LEFT(A56, 4)), 'Raw Annual Revenue'!A:D, 4, FALSE) / 4
</f>
        <v>758411.25</v>
      </c>
      <c r="E56" s="46">
        <f>VLOOKUP(VALUE(LEFT(A56, 4)), 'Raw Annual Revenue'!A:E, 5, FALSE) / 4
</f>
        <v>112500.25</v>
      </c>
      <c r="F56" s="46">
        <f>VLOOKUP(VALUE(LEFT(A56, 4)), 'Raw Annual Revenue'!A:F, 6, FALSE) / 4</f>
        <v>121158.75</v>
      </c>
      <c r="G56" s="43"/>
      <c r="H56" s="43"/>
      <c r="I56" s="43"/>
      <c r="J56" s="46">
        <f>VLOOKUP(VALUE(LEFT(A59, 4)), 'Raw Annual Revenue'!A:J, 10, FALSE) / 4</f>
        <v>31180.25</v>
      </c>
      <c r="K56" s="43"/>
      <c r="L56" s="46">
        <f>VLOOKUP(VALUE(LEFT($A56, 4)), 'Raw Annual Revenue'!$A:L, 12, FALSE) / 4</f>
        <v>66336.75</v>
      </c>
      <c r="M56" s="43"/>
      <c r="N56" s="43"/>
      <c r="O56" s="47">
        <f>VLOOKUP(VALUE(LEFT(A58, 4)), 'Raw Annual Revenue'!A:O, 15, FALSE) / 4
</f>
        <v>7913.25</v>
      </c>
      <c r="P56" s="43"/>
      <c r="Q56" s="43"/>
      <c r="R56" s="43"/>
      <c r="S56" s="43"/>
      <c r="T56" s="43"/>
      <c r="U56" s="43"/>
      <c r="V56" s="45">
        <f>VLOOKUP(VALUE(LEFT($A56, 4)), 'Raw Annual Revenue'!$A:V, 22, FALSE) / 4
</f>
        <v>189371.75</v>
      </c>
      <c r="W56" s="43"/>
      <c r="X56" s="45">
        <f>VLOOKUP(VALUE(LEFT($A58, 4)), 'Raw Annual Revenue'!$A:X, 24, FALSE) / 4
</f>
        <v>375805</v>
      </c>
      <c r="Y56" s="43"/>
      <c r="Z56" s="43"/>
      <c r="AA56" s="43"/>
      <c r="AB56" s="43"/>
      <c r="AC56" s="43"/>
      <c r="AD56" s="43"/>
    </row>
    <row r="57">
      <c r="A57" s="42" t="s">
        <v>84</v>
      </c>
      <c r="B57" s="43"/>
      <c r="C57" s="46">
        <f>VLOOKUP(VALUE(LEFT(A57, 4)), 'Raw Annual Revenue'!A:C, 3, FALSE) / 4
</f>
        <v>771226.25</v>
      </c>
      <c r="D57" s="46">
        <f>VLOOKUP(VALUE(LEFT(A57, 4)), 'Raw Annual Revenue'!A:D, 4, FALSE) / 4
</f>
        <v>758411.25</v>
      </c>
      <c r="E57" s="46">
        <f>VLOOKUP(VALUE(LEFT(A57, 4)), 'Raw Annual Revenue'!A:E, 5, FALSE) / 4
</f>
        <v>112500.25</v>
      </c>
      <c r="F57" s="46">
        <f>VLOOKUP(VALUE(LEFT(A57, 4)), 'Raw Annual Revenue'!A:F, 6, FALSE) / 4</f>
        <v>121158.75</v>
      </c>
      <c r="G57" s="43"/>
      <c r="H57" s="43"/>
      <c r="I57" s="43"/>
      <c r="J57" s="46">
        <f>VLOOKUP(VALUE(LEFT(A60, 4)), 'Raw Annual Revenue'!A:J, 10, FALSE) / 4</f>
        <v>31180.25</v>
      </c>
      <c r="K57" s="43"/>
      <c r="L57" s="46">
        <f>VLOOKUP(VALUE(LEFT($A57, 4)), 'Raw Annual Revenue'!$A:L, 12, FALSE) / 4</f>
        <v>66336.75</v>
      </c>
      <c r="M57" s="43"/>
      <c r="N57" s="43"/>
      <c r="O57" s="47">
        <f>VLOOKUP(VALUE(LEFT(A59, 4)), 'Raw Annual Revenue'!A:O, 15, FALSE) / 4
</f>
        <v>11691.5</v>
      </c>
      <c r="P57" s="43"/>
      <c r="Q57" s="43"/>
      <c r="R57" s="43"/>
      <c r="S57" s="43"/>
      <c r="T57" s="43"/>
      <c r="U57" s="43"/>
      <c r="V57" s="45">
        <f>VLOOKUP(VALUE(LEFT($A57, 4)), 'Raw Annual Revenue'!$A:V, 22, FALSE) / 4
</f>
        <v>189371.75</v>
      </c>
      <c r="W57" s="43"/>
      <c r="X57" s="45">
        <f>VLOOKUP(VALUE(LEFT($A59, 4)), 'Raw Annual Revenue'!$A:X, 24, FALSE) / 4
</f>
        <v>487927.75</v>
      </c>
      <c r="Y57" s="43"/>
      <c r="Z57" s="43"/>
      <c r="AA57" s="43"/>
      <c r="AB57" s="43"/>
      <c r="AC57" s="43"/>
      <c r="AD57" s="43"/>
    </row>
    <row r="58">
      <c r="A58" s="42" t="s">
        <v>85</v>
      </c>
      <c r="B58" s="43"/>
      <c r="C58" s="46">
        <f>VLOOKUP(VALUE(LEFT(A58, 4)), 'Raw Annual Revenue'!A:C, 3, FALSE) / 4
</f>
        <v>771226.25</v>
      </c>
      <c r="D58" s="46">
        <f>VLOOKUP(VALUE(LEFT(A58, 4)), 'Raw Annual Revenue'!A:D, 4, FALSE) / 4
</f>
        <v>758411.25</v>
      </c>
      <c r="E58" s="46">
        <f>VLOOKUP(VALUE(LEFT(A58, 4)), 'Raw Annual Revenue'!A:E, 5, FALSE) / 4
</f>
        <v>112500.25</v>
      </c>
      <c r="F58" s="46">
        <f>VLOOKUP(VALUE(LEFT(A58, 4)), 'Raw Annual Revenue'!A:F, 6, FALSE) / 4</f>
        <v>121158.75</v>
      </c>
      <c r="G58" s="43"/>
      <c r="H58" s="43"/>
      <c r="I58" s="43"/>
      <c r="J58" s="46">
        <f>VLOOKUP(VALUE(LEFT(A61, 4)), 'Raw Annual Revenue'!A:J, 10, FALSE) / 4</f>
        <v>31180.25</v>
      </c>
      <c r="K58" s="43"/>
      <c r="L58" s="46">
        <f>VLOOKUP(VALUE(LEFT($A58, 4)), 'Raw Annual Revenue'!$A:L, 12, FALSE) / 4</f>
        <v>66336.75</v>
      </c>
      <c r="M58" s="43"/>
      <c r="N58" s="43"/>
      <c r="O58" s="47">
        <f>VLOOKUP(VALUE(LEFT(A60, 4)), 'Raw Annual Revenue'!A:O, 15, FALSE) / 4
</f>
        <v>11691.5</v>
      </c>
      <c r="P58" s="43"/>
      <c r="Q58" s="43"/>
      <c r="R58" s="43"/>
      <c r="S58" s="43"/>
      <c r="T58" s="43"/>
      <c r="U58" s="43"/>
      <c r="V58" s="45">
        <f>VLOOKUP(VALUE(LEFT($A58, 4)), 'Raw Annual Revenue'!$A:V, 22, FALSE) / 4
</f>
        <v>189371.75</v>
      </c>
      <c r="W58" s="43"/>
      <c r="X58" s="45">
        <f>VLOOKUP(VALUE(LEFT($A60, 4)), 'Raw Annual Revenue'!$A:X, 24, FALSE) / 4
</f>
        <v>487927.75</v>
      </c>
      <c r="Y58" s="43"/>
      <c r="Z58" s="43"/>
      <c r="AA58" s="43"/>
      <c r="AB58" s="43"/>
      <c r="AC58" s="43"/>
      <c r="AD58" s="43"/>
    </row>
    <row r="59">
      <c r="A59" s="42" t="s">
        <v>86</v>
      </c>
      <c r="B59" s="43"/>
      <c r="C59" s="46">
        <f>VLOOKUP(VALUE(LEFT(A59, 4)), 'Raw Annual Revenue'!A:C, 3, FALSE) / 4
</f>
        <v>1088902.5</v>
      </c>
      <c r="D59" s="46">
        <f>VLOOKUP(VALUE(LEFT(A59, 4)), 'Raw Annual Revenue'!A:D, 4, FALSE) / 4
</f>
        <v>862252.25</v>
      </c>
      <c r="E59" s="46">
        <f>VLOOKUP(VALUE(LEFT(A59, 4)), 'Raw Annual Revenue'!A:E, 5, FALSE) / 4
</f>
        <v>143460</v>
      </c>
      <c r="F59" s="46">
        <f>VLOOKUP(VALUE(LEFT(A59, 4)), 'Raw Annual Revenue'!A:F, 6, FALSE) / 4</f>
        <v>159265.75</v>
      </c>
      <c r="G59" s="43"/>
      <c r="H59" s="43"/>
      <c r="I59" s="43"/>
      <c r="J59" s="46">
        <f>VLOOKUP(VALUE(LEFT(A62, 4)), 'Raw Annual Revenue'!A:J, 10, FALSE) / 4</f>
        <v>31180.25</v>
      </c>
      <c r="K59" s="43"/>
      <c r="L59" s="46">
        <f>VLOOKUP(VALUE(LEFT($A59, 4)), 'Raw Annual Revenue'!$A:L, 12, FALSE) / 4</f>
        <v>73072.5</v>
      </c>
      <c r="M59" s="43"/>
      <c r="N59" s="43"/>
      <c r="O59" s="47">
        <f>VLOOKUP(VALUE(LEFT(A61, 4)), 'Raw Annual Revenue'!A:O, 15, FALSE) / 4
</f>
        <v>11691.5</v>
      </c>
      <c r="P59" s="43"/>
      <c r="Q59" s="43"/>
      <c r="R59" s="43"/>
      <c r="S59" s="43"/>
      <c r="T59" s="43"/>
      <c r="U59" s="43"/>
      <c r="V59" s="45">
        <f>VLOOKUP(VALUE(LEFT($A59, 4)), 'Raw Annual Revenue'!$A:V, 22, FALSE) / 4
</f>
        <v>191954.75</v>
      </c>
      <c r="W59" s="43"/>
      <c r="X59" s="45">
        <f>VLOOKUP(VALUE(LEFT($A61, 4)), 'Raw Annual Revenue'!$A:X, 24, FALSE) / 4
</f>
        <v>487927.75</v>
      </c>
      <c r="Y59" s="43"/>
      <c r="Z59" s="43"/>
      <c r="AA59" s="43"/>
      <c r="AB59" s="43"/>
      <c r="AC59" s="43"/>
      <c r="AD59" s="43"/>
    </row>
    <row r="60">
      <c r="A60" s="42" t="s">
        <v>87</v>
      </c>
      <c r="B60" s="43"/>
      <c r="C60" s="46">
        <f>VLOOKUP(VALUE(LEFT(A60, 4)), 'Raw Annual Revenue'!A:C, 3, FALSE) / 4
</f>
        <v>1088902.5</v>
      </c>
      <c r="D60" s="46">
        <f>VLOOKUP(VALUE(LEFT(A60, 4)), 'Raw Annual Revenue'!A:D, 4, FALSE) / 4
</f>
        <v>862252.25</v>
      </c>
      <c r="E60" s="46">
        <f>VLOOKUP(VALUE(LEFT(A60, 4)), 'Raw Annual Revenue'!A:E, 5, FALSE) / 4
</f>
        <v>143460</v>
      </c>
      <c r="F60" s="46">
        <f>VLOOKUP(VALUE(LEFT(A60, 4)), 'Raw Annual Revenue'!A:F, 6, FALSE) / 4</f>
        <v>159265.75</v>
      </c>
      <c r="G60" s="43"/>
      <c r="H60" s="49">
        <f>VLOOKUP(VALUE(LEFT(A63, 4)), 'Raw Annual Revenue'!A:H, 8, FALSE) / 4</f>
        <v>141421</v>
      </c>
      <c r="I60" s="43"/>
      <c r="J60" s="46">
        <f>VLOOKUP(VALUE(LEFT(A63, 4)), 'Raw Annual Revenue'!A:J, 10, FALSE) / 4</f>
        <v>49149.75</v>
      </c>
      <c r="K60" s="43"/>
      <c r="L60" s="46">
        <f>VLOOKUP(VALUE(LEFT($A60, 4)), 'Raw Annual Revenue'!$A:L, 12, FALSE) / 4</f>
        <v>73072.5</v>
      </c>
      <c r="M60" s="43"/>
      <c r="N60" s="43"/>
      <c r="O60" s="47">
        <f>VLOOKUP(VALUE(LEFT(A62, 4)), 'Raw Annual Revenue'!A:O, 15, FALSE) / 4
</f>
        <v>11691.5</v>
      </c>
      <c r="P60" s="43"/>
      <c r="Q60" s="43"/>
      <c r="R60" s="43"/>
      <c r="S60" s="43"/>
      <c r="T60" s="43"/>
      <c r="U60" s="43"/>
      <c r="V60" s="45">
        <f>VLOOKUP(VALUE(LEFT($A60, 4)), 'Raw Annual Revenue'!$A:V, 22, FALSE) / 4
</f>
        <v>191954.75</v>
      </c>
      <c r="W60" s="43"/>
      <c r="X60" s="45">
        <f>VLOOKUP(VALUE(LEFT($A62, 4)), 'Raw Annual Revenue'!$A:X, 24, FALSE) / 4
</f>
        <v>487927.75</v>
      </c>
      <c r="Y60" s="43"/>
      <c r="Z60" s="43"/>
      <c r="AA60" s="43"/>
      <c r="AB60" s="43"/>
      <c r="AC60" s="43"/>
      <c r="AD60" s="43"/>
    </row>
    <row r="61">
      <c r="A61" s="42" t="s">
        <v>88</v>
      </c>
      <c r="B61" s="43"/>
      <c r="C61" s="46">
        <f>VLOOKUP(VALUE(LEFT(A61, 4)), 'Raw Annual Revenue'!A:C, 3, FALSE) / 4
</f>
        <v>1088902.5</v>
      </c>
      <c r="D61" s="46">
        <f>VLOOKUP(VALUE(LEFT(A61, 4)), 'Raw Annual Revenue'!A:D, 4, FALSE) / 4
</f>
        <v>862252.25</v>
      </c>
      <c r="E61" s="46">
        <f>VLOOKUP(VALUE(LEFT(A61, 4)), 'Raw Annual Revenue'!A:E, 5, FALSE) / 4
</f>
        <v>143460</v>
      </c>
      <c r="F61" s="46">
        <f>VLOOKUP(VALUE(LEFT(A61, 4)), 'Raw Annual Revenue'!A:F, 6, FALSE) / 4</f>
        <v>159265.75</v>
      </c>
      <c r="G61" s="43"/>
      <c r="H61" s="46">
        <f>VLOOKUP(VALUE(LEFT(A64, 4)), 'Raw Annual Revenue'!A:H, 8, FALSE) / 4</f>
        <v>141421</v>
      </c>
      <c r="I61" s="43"/>
      <c r="J61" s="46">
        <f>VLOOKUP(VALUE(LEFT(A64, 4)), 'Raw Annual Revenue'!A:J, 10, FALSE) / 4</f>
        <v>49149.75</v>
      </c>
      <c r="K61" s="43"/>
      <c r="L61" s="46">
        <f>VLOOKUP(VALUE(LEFT($A61, 4)), 'Raw Annual Revenue'!$A:L, 12, FALSE) / 4</f>
        <v>73072.5</v>
      </c>
      <c r="M61" s="43"/>
      <c r="N61" s="43"/>
      <c r="O61" s="47">
        <f>VLOOKUP(VALUE(LEFT(A63, 4)), 'Raw Annual Revenue'!A:O, 15, FALSE) / 4
</f>
        <v>14692.5</v>
      </c>
      <c r="P61" s="43"/>
      <c r="Q61" s="43"/>
      <c r="R61" s="43"/>
      <c r="S61" s="43"/>
      <c r="T61" s="43"/>
      <c r="U61" s="43"/>
      <c r="V61" s="45">
        <f>VLOOKUP(VALUE(LEFT($A61, 4)), 'Raw Annual Revenue'!$A:V, 22, FALSE) / 4
</f>
        <v>191954.75</v>
      </c>
      <c r="W61" s="43"/>
      <c r="X61" s="45">
        <f>VLOOKUP(VALUE(LEFT($A63, 4)), 'Raw Annual Revenue'!$A:X, 24, FALSE) / 4
</f>
        <v>505327.75</v>
      </c>
      <c r="Y61" s="43"/>
      <c r="Z61" s="43"/>
      <c r="AA61" s="43"/>
      <c r="AB61" s="43"/>
      <c r="AC61" s="43"/>
      <c r="AD61" s="43"/>
    </row>
    <row r="62">
      <c r="A62" s="42" t="s">
        <v>89</v>
      </c>
      <c r="B62" s="43"/>
      <c r="C62" s="46">
        <f>VLOOKUP(VALUE(LEFT(A62, 4)), 'Raw Annual Revenue'!A:C, 3, FALSE) / 4
</f>
        <v>1088902.5</v>
      </c>
      <c r="D62" s="46">
        <f>VLOOKUP(VALUE(LEFT(A62, 4)), 'Raw Annual Revenue'!A:D, 4, FALSE) / 4
</f>
        <v>862252.25</v>
      </c>
      <c r="E62" s="46">
        <f>VLOOKUP(VALUE(LEFT(A62, 4)), 'Raw Annual Revenue'!A:E, 5, FALSE) / 4
</f>
        <v>143460</v>
      </c>
      <c r="F62" s="46">
        <f>VLOOKUP(VALUE(LEFT(A62, 4)), 'Raw Annual Revenue'!A:F, 6, FALSE) / 4</f>
        <v>159265.75</v>
      </c>
      <c r="G62" s="43"/>
      <c r="H62" s="46">
        <f>VLOOKUP(VALUE(LEFT(A65, 4)), 'Raw Annual Revenue'!A:H, 8, FALSE) / 4</f>
        <v>141421</v>
      </c>
      <c r="I62" s="43"/>
      <c r="J62" s="46">
        <f>VLOOKUP(VALUE(LEFT(A65, 4)), 'Raw Annual Revenue'!A:J, 10, FALSE) / 4</f>
        <v>49149.75</v>
      </c>
      <c r="K62" s="43"/>
      <c r="L62" s="46">
        <f>VLOOKUP(VALUE(LEFT($A62, 4)), 'Raw Annual Revenue'!$A:L, 12, FALSE) / 4</f>
        <v>73072.5</v>
      </c>
      <c r="M62" s="43"/>
      <c r="N62" s="43"/>
      <c r="O62" s="47">
        <f>VLOOKUP(VALUE(LEFT(A64, 4)), 'Raw Annual Revenue'!A:O, 15, FALSE) / 4
</f>
        <v>14692.5</v>
      </c>
      <c r="P62" s="43"/>
      <c r="Q62" s="43"/>
      <c r="R62" s="43"/>
      <c r="S62" s="43"/>
      <c r="T62" s="43"/>
      <c r="U62" s="43"/>
      <c r="V62" s="45">
        <f>VLOOKUP(VALUE(LEFT($A62, 4)), 'Raw Annual Revenue'!$A:V, 22, FALSE) / 4
</f>
        <v>191954.75</v>
      </c>
      <c r="W62" s="43"/>
      <c r="X62" s="45">
        <f>VLOOKUP(VALUE(LEFT($A64, 4)), 'Raw Annual Revenue'!$A:X, 24, FALSE) / 4
</f>
        <v>505327.75</v>
      </c>
      <c r="Y62" s="43"/>
      <c r="Z62" s="43"/>
      <c r="AA62" s="43"/>
      <c r="AB62" s="43"/>
      <c r="AC62" s="43"/>
      <c r="AD62" s="43"/>
    </row>
    <row r="63">
      <c r="A63" s="42" t="s">
        <v>90</v>
      </c>
      <c r="B63" s="43"/>
      <c r="C63" s="46">
        <f>VLOOKUP(VALUE(LEFT(A63, 4)), 'Raw Annual Revenue'!A:C, 3, FALSE) / 4
</f>
        <v>1315239</v>
      </c>
      <c r="D63" s="46">
        <f>VLOOKUP(VALUE(LEFT(A63, 4)), 'Raw Annual Revenue'!A:D, 4, FALSE) / 4
</f>
        <v>1007586.75</v>
      </c>
      <c r="E63" s="46">
        <f>VLOOKUP(VALUE(LEFT(A63, 4)), 'Raw Annual Revenue'!A:E, 5, FALSE) / 4
</f>
        <v>170483</v>
      </c>
      <c r="F63" s="46">
        <f>VLOOKUP(VALUE(LEFT(A63, 4)), 'Raw Annual Revenue'!A:F, 6, FALSE) / 4</f>
        <v>190750</v>
      </c>
      <c r="G63" s="46"/>
      <c r="H63" s="46">
        <f>VLOOKUP(VALUE(LEFT(A66, 4)), 'Raw Annual Revenue'!A:H, 8, FALSE) / 4</f>
        <v>141421</v>
      </c>
      <c r="I63" s="43"/>
      <c r="J63" s="46">
        <f>VLOOKUP(VALUE(LEFT(A66, 4)), 'Raw Annual Revenue'!A:J, 10, FALSE) / 4</f>
        <v>49149.75</v>
      </c>
      <c r="K63" s="43"/>
      <c r="L63" s="46">
        <f>VLOOKUP(VALUE(LEFT($A63, 4)), 'Raw Annual Revenue'!$A:L, 12, FALSE) / 4</f>
        <v>83659.5</v>
      </c>
      <c r="M63" s="43"/>
      <c r="N63" s="43"/>
      <c r="O63" s="47">
        <f>VLOOKUP(VALUE(LEFT(A65, 4)), 'Raw Annual Revenue'!A:O, 15, FALSE) / 4
</f>
        <v>14692.5</v>
      </c>
      <c r="P63" s="43"/>
      <c r="Q63" s="43"/>
      <c r="R63" s="46"/>
      <c r="S63" s="46">
        <f>VLOOKUP(VALUE(LEFT(A63, 4)), 'Raw Annual Revenue'!A:S, 19, FALSE) / 4</f>
        <v>24745.25</v>
      </c>
      <c r="T63" s="43"/>
      <c r="U63" s="43"/>
      <c r="V63" s="45">
        <f>VLOOKUP(VALUE(LEFT($A63, 4)), 'Raw Annual Revenue'!$A:V, 22, FALSE) / 4
</f>
        <v>194699</v>
      </c>
      <c r="W63" s="43"/>
      <c r="X63" s="45">
        <f>VLOOKUP(VALUE(LEFT($A65, 4)), 'Raw Annual Revenue'!$A:X, 24, FALSE) / 4
</f>
        <v>505327.75</v>
      </c>
      <c r="Y63" s="43"/>
      <c r="Z63" s="43"/>
      <c r="AA63" s="43"/>
      <c r="AB63" s="43"/>
      <c r="AC63" s="43"/>
      <c r="AD63" s="43"/>
    </row>
    <row r="64">
      <c r="A64" s="42" t="s">
        <v>91</v>
      </c>
      <c r="B64" s="43"/>
      <c r="C64" s="46">
        <f>VLOOKUP(VALUE(LEFT(A64, 4)), 'Raw Annual Revenue'!A:C, 3, FALSE) / 4
</f>
        <v>1315239</v>
      </c>
      <c r="D64" s="46">
        <f>VLOOKUP(VALUE(LEFT(A64, 4)), 'Raw Annual Revenue'!A:D, 4, FALSE) / 4
</f>
        <v>1007586.75</v>
      </c>
      <c r="E64" s="46">
        <f>VLOOKUP(VALUE(LEFT(A64, 4)), 'Raw Annual Revenue'!A:E, 5, FALSE) / 4
</f>
        <v>170483</v>
      </c>
      <c r="F64" s="46">
        <f>VLOOKUP(VALUE(LEFT(A64, 4)), 'Raw Annual Revenue'!A:F, 6, FALSE) / 4</f>
        <v>190750</v>
      </c>
      <c r="G64" s="43"/>
      <c r="H64" s="46">
        <f>VLOOKUP(VALUE(LEFT(A67, 4)), 'Raw Annual Revenue'!A:H, 8, FALSE) / 4</f>
        <v>153515.75</v>
      </c>
      <c r="I64" s="43"/>
      <c r="J64" s="46">
        <f>VLOOKUP(VALUE(LEFT(A67, 4)), 'Raw Annual Revenue'!A:J, 10, FALSE) / 4</f>
        <v>57205.5</v>
      </c>
      <c r="K64" s="43"/>
      <c r="L64" s="46">
        <f>VLOOKUP(VALUE(LEFT($A64, 4)), 'Raw Annual Revenue'!$A:L, 12, FALSE) / 4</f>
        <v>83659.5</v>
      </c>
      <c r="M64" s="43"/>
      <c r="N64" s="43"/>
      <c r="O64" s="47">
        <f>VLOOKUP(VALUE(LEFT(A66, 4)), 'Raw Annual Revenue'!A:O, 15, FALSE) / 4
</f>
        <v>14692.5</v>
      </c>
      <c r="P64" s="43"/>
      <c r="Q64" s="43"/>
      <c r="R64" s="46"/>
      <c r="S64" s="46">
        <f>VLOOKUP(VALUE(LEFT(A64, 4)), 'Raw Annual Revenue'!A:S, 19, FALSE) / 4</f>
        <v>24745.25</v>
      </c>
      <c r="T64" s="43"/>
      <c r="U64" s="43"/>
      <c r="V64" s="45">
        <f>VLOOKUP(VALUE(LEFT($A64, 4)), 'Raw Annual Revenue'!$A:V, 22, FALSE) / 4
</f>
        <v>194699</v>
      </c>
      <c r="W64" s="43"/>
      <c r="X64" s="45">
        <f>VLOOKUP(VALUE(LEFT($A66, 4)), 'Raw Annual Revenue'!$A:X, 24, FALSE) / 4
</f>
        <v>505327.75</v>
      </c>
      <c r="Y64" s="43"/>
      <c r="Z64" s="43"/>
      <c r="AA64" s="43"/>
      <c r="AB64" s="43"/>
      <c r="AC64" s="43"/>
      <c r="AD64" s="43"/>
    </row>
    <row r="65">
      <c r="A65" s="42" t="s">
        <v>92</v>
      </c>
      <c r="B65" s="43"/>
      <c r="C65" s="46">
        <f>VLOOKUP(VALUE(LEFT(A65, 4)), 'Raw Annual Revenue'!A:C, 3, FALSE) / 4
</f>
        <v>1315239</v>
      </c>
      <c r="D65" s="46">
        <f>VLOOKUP(VALUE(LEFT(A65, 4)), 'Raw Annual Revenue'!A:D, 4, FALSE) / 4
</f>
        <v>1007586.75</v>
      </c>
      <c r="E65" s="46">
        <f>VLOOKUP(VALUE(LEFT(A65, 4)), 'Raw Annual Revenue'!A:E, 5, FALSE) / 4
</f>
        <v>170483</v>
      </c>
      <c r="F65" s="46">
        <f>VLOOKUP(VALUE(LEFT(A65, 4)), 'Raw Annual Revenue'!A:F, 6, FALSE) / 4</f>
        <v>190750</v>
      </c>
      <c r="G65" s="43"/>
      <c r="H65" s="46">
        <f>VLOOKUP(VALUE(LEFT(A68, 4)), 'Raw Annual Revenue'!A:H, 8, FALSE) / 4</f>
        <v>153515.75</v>
      </c>
      <c r="I65" s="43"/>
      <c r="J65" s="46">
        <f>VLOOKUP(VALUE(LEFT(A68, 4)), 'Raw Annual Revenue'!A:J, 10, FALSE) / 4</f>
        <v>57205.5</v>
      </c>
      <c r="K65" s="43"/>
      <c r="L65" s="46">
        <f>VLOOKUP(VALUE(LEFT($A65, 4)), 'Raw Annual Revenue'!$A:L, 12, FALSE) / 4</f>
        <v>83659.5</v>
      </c>
      <c r="M65" s="43"/>
      <c r="N65" s="43"/>
      <c r="O65" s="47">
        <f>VLOOKUP(VALUE(LEFT(A67, 4)), 'Raw Annual Revenue'!A:O, 15, FALSE) / 4
</f>
        <v>17278.25</v>
      </c>
      <c r="P65" s="43"/>
      <c r="Q65" s="43"/>
      <c r="R65" s="46"/>
      <c r="S65" s="46">
        <f>VLOOKUP(VALUE(LEFT(A65, 4)), 'Raw Annual Revenue'!A:S, 19, FALSE) / 4</f>
        <v>24745.25</v>
      </c>
      <c r="T65" s="43"/>
      <c r="U65" s="43"/>
      <c r="V65" s="45">
        <f>VLOOKUP(VALUE(LEFT($A65, 4)), 'Raw Annual Revenue'!$A:V, 22, FALSE) / 4
</f>
        <v>194699</v>
      </c>
      <c r="W65" s="43"/>
      <c r="X65" s="45">
        <f>VLOOKUP(VALUE(LEFT($A67, 4)), 'Raw Annual Revenue'!$A:X, 24, FALSE) / 4
</f>
        <v>450700</v>
      </c>
      <c r="Y65" s="43"/>
      <c r="Z65" s="43"/>
      <c r="AA65" s="43"/>
      <c r="AB65" s="43"/>
      <c r="AC65" s="43"/>
      <c r="AD65" s="43"/>
    </row>
    <row r="66">
      <c r="A66" s="42" t="s">
        <v>93</v>
      </c>
      <c r="B66" s="43"/>
      <c r="C66" s="46">
        <f>VLOOKUP(VALUE(LEFT(A66, 4)), 'Raw Annual Revenue'!A:C, 3, FALSE) / 4
</f>
        <v>1315239</v>
      </c>
      <c r="D66" s="46">
        <f>VLOOKUP(VALUE(LEFT(A66, 4)), 'Raw Annual Revenue'!A:D, 4, FALSE) / 4
</f>
        <v>1007586.75</v>
      </c>
      <c r="E66" s="46">
        <f>VLOOKUP(VALUE(LEFT(A66, 4)), 'Raw Annual Revenue'!A:E, 5, FALSE) / 4
</f>
        <v>170483</v>
      </c>
      <c r="F66" s="46">
        <f>VLOOKUP(VALUE(LEFT(A66, 4)), 'Raw Annual Revenue'!A:F, 6, FALSE) / 4</f>
        <v>190750</v>
      </c>
      <c r="G66" s="43"/>
      <c r="H66" s="46">
        <f>VLOOKUP(VALUE(LEFT(A69, 4)), 'Raw Annual Revenue'!A:H, 8, FALSE) / 4</f>
        <v>153515.75</v>
      </c>
      <c r="I66" s="43"/>
      <c r="J66" s="46">
        <f>VLOOKUP(VALUE(LEFT(A69, 4)), 'Raw Annual Revenue'!A:J, 10, FALSE) / 4</f>
        <v>57205.5</v>
      </c>
      <c r="K66" s="43"/>
      <c r="L66" s="46">
        <f>VLOOKUP(VALUE(LEFT($A66, 4)), 'Raw Annual Revenue'!$A:L, 12, FALSE) / 4</f>
        <v>83659.5</v>
      </c>
      <c r="M66" s="43"/>
      <c r="N66" s="43"/>
      <c r="O66" s="47">
        <f>VLOOKUP(VALUE(LEFT(A68, 4)), 'Raw Annual Revenue'!A:O, 15, FALSE) / 4
</f>
        <v>17278.25</v>
      </c>
      <c r="P66" s="43"/>
      <c r="Q66" s="43"/>
      <c r="R66" s="46"/>
      <c r="S66" s="46">
        <f>VLOOKUP(VALUE(LEFT(A66, 4)), 'Raw Annual Revenue'!A:S, 19, FALSE) / 4</f>
        <v>24745.25</v>
      </c>
      <c r="T66" s="43"/>
      <c r="U66" s="43"/>
      <c r="V66" s="45">
        <f>VLOOKUP(VALUE(LEFT($A66, 4)), 'Raw Annual Revenue'!$A:V, 22, FALSE) / 4
</f>
        <v>194699</v>
      </c>
      <c r="W66" s="43"/>
      <c r="X66" s="45">
        <f>VLOOKUP(VALUE(LEFT($A68, 4)), 'Raw Annual Revenue'!$A:X, 24, FALSE) / 4
</f>
        <v>450700</v>
      </c>
      <c r="Y66" s="43"/>
      <c r="Z66" s="43"/>
      <c r="AA66" s="43"/>
      <c r="AB66" s="43"/>
      <c r="AC66" s="43"/>
      <c r="AD66" s="43"/>
    </row>
    <row r="67">
      <c r="A67" s="42" t="s">
        <v>94</v>
      </c>
      <c r="B67" s="43"/>
      <c r="C67" s="46">
        <f>VLOOKUP(VALUE(LEFT(A67, 4)), 'Raw Annual Revenue'!A:C, 3, FALSE) / 4
</f>
        <v>1698326.5</v>
      </c>
      <c r="D67" s="46">
        <f>VLOOKUP(VALUE(LEFT(A67, 4)), 'Raw Annual Revenue'!A:D, 4, FALSE) / 4
</f>
        <v>1192814.75</v>
      </c>
      <c r="E67" s="46">
        <f>VLOOKUP(VALUE(LEFT(A67, 4)), 'Raw Annual Revenue'!A:E, 5, FALSE) / 4
</f>
        <v>227364</v>
      </c>
      <c r="F67" s="46">
        <f>VLOOKUP(VALUE(LEFT(A67, 4)), 'Raw Annual Revenue'!A:F, 6, FALSE) / 4</f>
        <v>236250</v>
      </c>
      <c r="G67" s="43"/>
      <c r="H67" s="46">
        <f>VLOOKUP(VALUE(LEFT(A70, 4)), 'Raw Annual Revenue'!A:H, 8, FALSE) / 4</f>
        <v>153515.75</v>
      </c>
      <c r="I67" s="43"/>
      <c r="J67" s="46">
        <f>VLOOKUP(VALUE(LEFT(A70, 4)), 'Raw Annual Revenue'!A:J, 10, FALSE) / 4</f>
        <v>57205.5</v>
      </c>
      <c r="K67" s="43"/>
      <c r="L67" s="46">
        <f>VLOOKUP(VALUE(LEFT($A67, 4)), 'Raw Annual Revenue'!$A:L, 12, FALSE) / 4</f>
        <v>95841</v>
      </c>
      <c r="M67" s="43"/>
      <c r="N67" s="43"/>
      <c r="O67" s="47">
        <f>VLOOKUP(VALUE(LEFT(A69, 4)), 'Raw Annual Revenue'!A:O, 15, FALSE) / 4
</f>
        <v>17278.25</v>
      </c>
      <c r="P67" s="43"/>
      <c r="Q67" s="43"/>
      <c r="R67" s="46"/>
      <c r="S67" s="46">
        <f>VLOOKUP(VALUE(LEFT(A67, 4)), 'Raw Annual Revenue'!A:S, 19, FALSE) / 4</f>
        <v>42470.75</v>
      </c>
      <c r="T67" s="43"/>
      <c r="U67" s="43"/>
      <c r="V67" s="45">
        <f>VLOOKUP(VALUE(LEFT($A67, 4)), 'Raw Annual Revenue'!$A:V, 22, FALSE) / 4
</f>
        <v>211750.75</v>
      </c>
      <c r="W67" s="43"/>
      <c r="X67" s="45">
        <f>VLOOKUP(VALUE(LEFT($A69, 4)), 'Raw Annual Revenue'!$A:X, 24, FALSE) / 4
</f>
        <v>450700</v>
      </c>
      <c r="Y67" s="46">
        <f>VLOOKUP(VALUE(LEFT(A67, 4)), 'Raw Annual Revenue'!A:Y, 25, FALSE) / 4</f>
        <v>26660.8686</v>
      </c>
      <c r="Z67" s="46"/>
      <c r="AA67" s="46"/>
      <c r="AB67" s="46"/>
      <c r="AC67" s="46"/>
      <c r="AD67" s="43"/>
    </row>
    <row r="68">
      <c r="A68" s="42" t="s">
        <v>95</v>
      </c>
      <c r="B68" s="43"/>
      <c r="C68" s="46">
        <f>VLOOKUP(VALUE(LEFT(A68, 4)), 'Raw Annual Revenue'!A:C, 3, FALSE) / 4
</f>
        <v>1698326.5</v>
      </c>
      <c r="D68" s="46">
        <f>VLOOKUP(VALUE(LEFT(A68, 4)), 'Raw Annual Revenue'!A:D, 4, FALSE) / 4
</f>
        <v>1192814.75</v>
      </c>
      <c r="E68" s="46">
        <f>VLOOKUP(VALUE(LEFT(A68, 4)), 'Raw Annual Revenue'!A:E, 5, FALSE) / 4
</f>
        <v>227364</v>
      </c>
      <c r="F68" s="46">
        <f>VLOOKUP(VALUE(LEFT(A68, 4)), 'Raw Annual Revenue'!A:F, 6, FALSE) / 4</f>
        <v>236250</v>
      </c>
      <c r="G68" s="43"/>
      <c r="H68" s="46">
        <f>VLOOKUP(VALUE(LEFT(A71, 4)), 'Raw Annual Revenue'!A:H, 8, FALSE) / 4</f>
        <v>165088.5</v>
      </c>
      <c r="I68" s="43"/>
      <c r="J68" s="46">
        <f>VLOOKUP(VALUE(LEFT(A71, 4)), 'Raw Annual Revenue'!A:J, 10, FALSE) / 4</f>
        <v>64135.75</v>
      </c>
      <c r="K68" s="43"/>
      <c r="L68" s="46">
        <f>VLOOKUP(VALUE(LEFT($A68, 4)), 'Raw Annual Revenue'!$A:L, 12, FALSE) / 4</f>
        <v>95841</v>
      </c>
      <c r="M68" s="43"/>
      <c r="N68" s="43"/>
      <c r="O68" s="47">
        <f>VLOOKUP(VALUE(LEFT(A70, 4)), 'Raw Annual Revenue'!A:O, 15, FALSE) / 4
</f>
        <v>17278.25</v>
      </c>
      <c r="P68" s="43"/>
      <c r="Q68" s="43"/>
      <c r="R68" s="46"/>
      <c r="S68" s="46">
        <f>VLOOKUP(VALUE(LEFT(A68, 4)), 'Raw Annual Revenue'!A:S, 19, FALSE) / 4</f>
        <v>42470.75</v>
      </c>
      <c r="T68" s="43"/>
      <c r="U68" s="43"/>
      <c r="V68" s="45">
        <f>VLOOKUP(VALUE(LEFT($A68, 4)), 'Raw Annual Revenue'!$A:V, 22, FALSE) / 4
</f>
        <v>211750.75</v>
      </c>
      <c r="W68" s="43"/>
      <c r="X68" s="45">
        <f>VLOOKUP(VALUE(LEFT($A70, 4)), 'Raw Annual Revenue'!$A:X, 24, FALSE) / 4
</f>
        <v>450700</v>
      </c>
      <c r="Y68" s="46">
        <f>VLOOKUP(VALUE(LEFT(A68, 4)), 'Raw Annual Revenue'!A:Y, 25, FALSE) / 4</f>
        <v>26660.8686</v>
      </c>
      <c r="Z68" s="46"/>
      <c r="AA68" s="46"/>
      <c r="AB68" s="46"/>
      <c r="AC68" s="46"/>
      <c r="AD68" s="43"/>
    </row>
    <row r="69">
      <c r="A69" s="42" t="s">
        <v>96</v>
      </c>
      <c r="B69" s="43"/>
      <c r="C69" s="46">
        <f>VLOOKUP(VALUE(LEFT(A69, 4)), 'Raw Annual Revenue'!A:C, 3, FALSE) / 4
</f>
        <v>1698326.5</v>
      </c>
      <c r="D69" s="46">
        <f>VLOOKUP(VALUE(LEFT(A69, 4)), 'Raw Annual Revenue'!A:D, 4, FALSE) / 4
</f>
        <v>1192814.75</v>
      </c>
      <c r="E69" s="46">
        <f>VLOOKUP(VALUE(LEFT(A69, 4)), 'Raw Annual Revenue'!A:E, 5, FALSE) / 4
</f>
        <v>227364</v>
      </c>
      <c r="F69" s="46">
        <f>VLOOKUP(VALUE(LEFT(A69, 4)), 'Raw Annual Revenue'!A:F, 6, FALSE) / 4</f>
        <v>236250</v>
      </c>
      <c r="G69" s="43"/>
      <c r="H69" s="46">
        <f>VLOOKUP(VALUE(LEFT(A72, 4)), 'Raw Annual Revenue'!A:H, 8, FALSE) / 4</f>
        <v>165088.5</v>
      </c>
      <c r="I69" s="43"/>
      <c r="J69" s="46">
        <f>VLOOKUP(VALUE(LEFT(A72, 4)), 'Raw Annual Revenue'!A:J, 10, FALSE) / 4</f>
        <v>64135.75</v>
      </c>
      <c r="K69" s="43"/>
      <c r="L69" s="46">
        <f>VLOOKUP(VALUE(LEFT($A69, 4)), 'Raw Annual Revenue'!$A:L, 12, FALSE) / 4</f>
        <v>95841</v>
      </c>
      <c r="M69" s="43"/>
      <c r="N69" s="43"/>
      <c r="O69" s="47">
        <f>VLOOKUP(VALUE(LEFT(A71, 4)), 'Raw Annual Revenue'!A:O, 15, FALSE) / 4
</f>
        <v>23230.75</v>
      </c>
      <c r="P69" s="43"/>
      <c r="Q69" s="43"/>
      <c r="R69" s="46"/>
      <c r="S69" s="46">
        <f>VLOOKUP(VALUE(LEFT(A69, 4)), 'Raw Annual Revenue'!A:S, 19, FALSE) / 4</f>
        <v>42470.75</v>
      </c>
      <c r="T69" s="43"/>
      <c r="U69" s="43"/>
      <c r="V69" s="45">
        <f>VLOOKUP(VALUE(LEFT($A69, 4)), 'Raw Annual Revenue'!$A:V, 22, FALSE) / 4
</f>
        <v>211750.75</v>
      </c>
      <c r="W69" s="43"/>
      <c r="X69" s="45">
        <f>VLOOKUP(VALUE(LEFT($A71, 4)), 'Raw Annual Revenue'!$A:X, 24, FALSE) / 4
</f>
        <v>519982</v>
      </c>
      <c r="Y69" s="46">
        <f>VLOOKUP(VALUE(LEFT(A69, 4)), 'Raw Annual Revenue'!A:Y, 25, FALSE) / 4</f>
        <v>26660.8686</v>
      </c>
      <c r="Z69" s="46"/>
      <c r="AA69" s="46"/>
      <c r="AB69" s="46"/>
      <c r="AC69" s="46"/>
      <c r="AD69" s="43"/>
    </row>
    <row r="70">
      <c r="A70" s="42" t="s">
        <v>97</v>
      </c>
      <c r="B70" s="43"/>
      <c r="C70" s="46">
        <f>VLOOKUP(VALUE(LEFT(A70, 4)), 'Raw Annual Revenue'!A:C, 3, FALSE) / 4
</f>
        <v>1698326.5</v>
      </c>
      <c r="D70" s="46">
        <f>VLOOKUP(VALUE(LEFT(A70, 4)), 'Raw Annual Revenue'!A:D, 4, FALSE) / 4
</f>
        <v>1192814.75</v>
      </c>
      <c r="E70" s="46">
        <f>VLOOKUP(VALUE(LEFT(A70, 4)), 'Raw Annual Revenue'!A:E, 5, FALSE) / 4
</f>
        <v>227364</v>
      </c>
      <c r="F70" s="46">
        <f>VLOOKUP(VALUE(LEFT(A70, 4)), 'Raw Annual Revenue'!A:F, 6, FALSE) / 4</f>
        <v>236250</v>
      </c>
      <c r="G70" s="43"/>
      <c r="H70" s="46">
        <f>VLOOKUP(VALUE(LEFT(A73, 4)), 'Raw Annual Revenue'!A:H, 8, FALSE) / 4</f>
        <v>165088.5</v>
      </c>
      <c r="I70" s="43"/>
      <c r="J70" s="46">
        <f>VLOOKUP(VALUE(LEFT(A73, 4)), 'Raw Annual Revenue'!A:J, 10, FALSE) / 4</f>
        <v>64135.75</v>
      </c>
      <c r="K70" s="43"/>
      <c r="L70" s="46">
        <f>VLOOKUP(VALUE(LEFT($A70, 4)), 'Raw Annual Revenue'!$A:L, 12, FALSE) / 4</f>
        <v>95841</v>
      </c>
      <c r="M70" s="43"/>
      <c r="N70" s="43"/>
      <c r="O70" s="47">
        <f>VLOOKUP(VALUE(LEFT(A72, 4)), 'Raw Annual Revenue'!A:O, 15, FALSE) / 4
</f>
        <v>23230.75</v>
      </c>
      <c r="P70" s="43"/>
      <c r="Q70" s="43"/>
      <c r="R70" s="46"/>
      <c r="S70" s="46">
        <f>VLOOKUP(VALUE(LEFT(A70, 4)), 'Raw Annual Revenue'!A:S, 19, FALSE) / 4</f>
        <v>42470.75</v>
      </c>
      <c r="T70" s="43"/>
      <c r="U70" s="43"/>
      <c r="V70" s="45">
        <f>VLOOKUP(VALUE(LEFT($A70, 4)), 'Raw Annual Revenue'!$A:V, 22, FALSE) / 4
</f>
        <v>211750.75</v>
      </c>
      <c r="W70" s="43"/>
      <c r="X70" s="45">
        <f>VLOOKUP(VALUE(LEFT($A72, 4)), 'Raw Annual Revenue'!$A:X, 24, FALSE) / 4
</f>
        <v>519982</v>
      </c>
      <c r="Y70" s="46">
        <f>VLOOKUP(VALUE(LEFT(A70, 4)), 'Raw Annual Revenue'!A:Y, 25, FALSE) / 4</f>
        <v>26660.8686</v>
      </c>
      <c r="Z70" s="46"/>
      <c r="AA70" s="46"/>
      <c r="AB70" s="46"/>
      <c r="AC70" s="46"/>
      <c r="AD70" s="43"/>
    </row>
    <row r="71">
      <c r="A71" s="42" t="s">
        <v>98</v>
      </c>
      <c r="B71" s="43"/>
      <c r="C71" s="46">
        <f>VLOOKUP(VALUE(LEFT(A71, 4)), 'Raw Annual Revenue'!A:C, 3, FALSE) / 4
</f>
        <v>2110492.75</v>
      </c>
      <c r="D71" s="46">
        <f>VLOOKUP(VALUE(LEFT(A71, 4)), 'Raw Annual Revenue'!A:D, 4, FALSE) / 4
</f>
        <v>1440871.25</v>
      </c>
      <c r="E71" s="46">
        <f>VLOOKUP(VALUE(LEFT(A71, 4)), 'Raw Annual Revenue'!A:E, 5, FALSE) / 4
</f>
        <v>300168.25</v>
      </c>
      <c r="F71" s="46">
        <f>VLOOKUP(VALUE(LEFT(A71, 4)), 'Raw Annual Revenue'!A:F, 6, FALSE) / 4</f>
        <v>311500</v>
      </c>
      <c r="G71" s="46">
        <f>VLOOKUP(VALUE(LEFT(A71, 4)), 'Raw Annual Revenue'!A:G, 7, FALSE) / 4</f>
        <v>93890</v>
      </c>
      <c r="H71" s="46">
        <f>VLOOKUP(VALUE(LEFT(A74, 4)), 'Raw Annual Revenue'!A:H, 8, FALSE) / 4</f>
        <v>165088.5</v>
      </c>
      <c r="I71" s="43"/>
      <c r="J71" s="46">
        <f>VLOOKUP(VALUE(LEFT(A74, 4)), 'Raw Annual Revenue'!A:J, 10, FALSE) / 4</f>
        <v>64135.75</v>
      </c>
      <c r="K71" s="43"/>
      <c r="L71" s="46">
        <f>VLOOKUP(VALUE(LEFT($A71, 4)), 'Raw Annual Revenue'!$A:L, 12, FALSE) / 4</f>
        <v>117024.25</v>
      </c>
      <c r="M71" s="43"/>
      <c r="N71" s="43"/>
      <c r="O71" s="47">
        <f>VLOOKUP(VALUE(LEFT(A73, 4)), 'Raw Annual Revenue'!A:O, 15, FALSE) / 4
</f>
        <v>23230.75</v>
      </c>
      <c r="P71" s="43"/>
      <c r="Q71" s="43"/>
      <c r="R71" s="46"/>
      <c r="S71" s="46">
        <f>VLOOKUP(VALUE(LEFT(A71, 4)), 'Raw Annual Revenue'!A:S, 19, FALSE) / 4</f>
        <v>44614.25</v>
      </c>
      <c r="T71" s="43"/>
      <c r="U71" s="43"/>
      <c r="V71" s="45">
        <f>VLOOKUP(VALUE(LEFT($A71, 4)), 'Raw Annual Revenue'!$A:V, 22, FALSE) / 4
</f>
        <v>233001.75</v>
      </c>
      <c r="W71" s="43"/>
      <c r="X71" s="45">
        <f>VLOOKUP(VALUE(LEFT($A73, 4)), 'Raw Annual Revenue'!$A:X, 24, FALSE) / 4
</f>
        <v>519982</v>
      </c>
      <c r="Y71" s="46">
        <f>VLOOKUP(VALUE(LEFT(A71, 4)), 'Raw Annual Revenue'!A:Y, 25, FALSE) / 4</f>
        <v>34554.9414</v>
      </c>
      <c r="Z71" s="46"/>
      <c r="AA71" s="46">
        <f>VLOOKUP(VALUE(LEFT($A71, 4)), 'Raw Annual Revenue'!$A:AA, 27, FALSE) / 4</f>
        <v>1573.25</v>
      </c>
      <c r="AB71" s="46"/>
      <c r="AC71" s="46"/>
      <c r="AD71" s="43"/>
    </row>
    <row r="72">
      <c r="A72" s="42" t="s">
        <v>99</v>
      </c>
      <c r="B72" s="43"/>
      <c r="C72" s="46">
        <f>VLOOKUP(VALUE(LEFT(A72, 4)), 'Raw Annual Revenue'!A:C, 3, FALSE) / 4
</f>
        <v>2110492.75</v>
      </c>
      <c r="D72" s="46">
        <f>VLOOKUP(VALUE(LEFT(A72, 4)), 'Raw Annual Revenue'!A:D, 4, FALSE) / 4
</f>
        <v>1440871.25</v>
      </c>
      <c r="E72" s="46">
        <f>VLOOKUP(VALUE(LEFT(A72, 4)), 'Raw Annual Revenue'!A:E, 5, FALSE) / 4
</f>
        <v>300168.25</v>
      </c>
      <c r="F72" s="46">
        <f>VLOOKUP(VALUE(LEFT(A72, 4)), 'Raw Annual Revenue'!A:F, 6, FALSE) / 4</f>
        <v>311500</v>
      </c>
      <c r="G72" s="46">
        <f>VLOOKUP(VALUE(LEFT(A72, 4)), 'Raw Annual Revenue'!A:G, 7, FALSE) / 4</f>
        <v>93890</v>
      </c>
      <c r="H72" s="46">
        <f>VLOOKUP(VALUE(LEFT(A75, 4)), 'Raw Annual Revenue'!A:H, 8, FALSE) / 4</f>
        <v>38746.25</v>
      </c>
      <c r="I72" s="43"/>
      <c r="J72" s="46">
        <f>VLOOKUP(VALUE(LEFT(A75, 4)), 'Raw Annual Revenue'!A:J, 10, FALSE) / 4</f>
        <v>75128.75</v>
      </c>
      <c r="K72" s="43"/>
      <c r="L72" s="46">
        <f>VLOOKUP(VALUE(LEFT($A72, 4)), 'Raw Annual Revenue'!$A:L, 12, FALSE) / 4</f>
        <v>117024.25</v>
      </c>
      <c r="M72" s="43"/>
      <c r="N72" s="43"/>
      <c r="O72" s="47">
        <f>VLOOKUP(VALUE(LEFT(A74, 4)), 'Raw Annual Revenue'!A:O, 15, FALSE) / 4
</f>
        <v>23230.75</v>
      </c>
      <c r="P72" s="43"/>
      <c r="Q72" s="43"/>
      <c r="R72" s="46"/>
      <c r="S72" s="46">
        <f>VLOOKUP(VALUE(LEFT(A72, 4)), 'Raw Annual Revenue'!A:S, 19, FALSE) / 4</f>
        <v>44614.25</v>
      </c>
      <c r="T72" s="43"/>
      <c r="U72" s="43"/>
      <c r="V72" s="45">
        <f>VLOOKUP(VALUE(LEFT($A72, 4)), 'Raw Annual Revenue'!$A:V, 22, FALSE) / 4
</f>
        <v>233001.75</v>
      </c>
      <c r="W72" s="43"/>
      <c r="X72" s="45">
        <f>VLOOKUP(VALUE(LEFT($A74, 4)), 'Raw Annual Revenue'!$A:X, 24, FALSE) / 4
</f>
        <v>519982</v>
      </c>
      <c r="Y72" s="46">
        <f>VLOOKUP(VALUE(LEFT(A72, 4)), 'Raw Annual Revenue'!A:Y, 25, FALSE) / 4</f>
        <v>34554.9414</v>
      </c>
      <c r="Z72" s="46"/>
      <c r="AA72" s="46">
        <f>VLOOKUP(VALUE(LEFT($A72, 4)), 'Raw Annual Revenue'!$A:AA, 27, FALSE) / 4</f>
        <v>1573.25</v>
      </c>
      <c r="AB72" s="46"/>
      <c r="AC72" s="46"/>
      <c r="AD72" s="43"/>
    </row>
    <row r="73">
      <c r="A73" s="42" t="s">
        <v>100</v>
      </c>
      <c r="B73" s="43"/>
      <c r="C73" s="46">
        <f>VLOOKUP(VALUE(LEFT(A73, 4)), 'Raw Annual Revenue'!A:C, 3, FALSE) / 4
</f>
        <v>2110492.75</v>
      </c>
      <c r="D73" s="46">
        <f>VLOOKUP(VALUE(LEFT(A73, 4)), 'Raw Annual Revenue'!A:D, 4, FALSE) / 4
</f>
        <v>1440871.25</v>
      </c>
      <c r="E73" s="46">
        <f>VLOOKUP(VALUE(LEFT(A73, 4)), 'Raw Annual Revenue'!A:E, 5, FALSE) / 4
</f>
        <v>300168.25</v>
      </c>
      <c r="F73" s="46">
        <f>VLOOKUP(VALUE(LEFT(A73, 4)), 'Raw Annual Revenue'!A:F, 6, FALSE) / 4</f>
        <v>311500</v>
      </c>
      <c r="G73" s="46">
        <f>VLOOKUP(VALUE(LEFT(A73, 4)), 'Raw Annual Revenue'!A:G, 7, FALSE) / 4</f>
        <v>93890</v>
      </c>
      <c r="H73" s="46">
        <f>VLOOKUP(VALUE(LEFT(A76, 4)), 'Raw Annual Revenue'!A:H, 8, FALSE) / 4</f>
        <v>38746.25</v>
      </c>
      <c r="I73" s="43"/>
      <c r="J73" s="46">
        <f>VLOOKUP(VALUE(LEFT(A76, 4)), 'Raw Annual Revenue'!A:J, 10, FALSE) / 4</f>
        <v>75128.75</v>
      </c>
      <c r="K73" s="43"/>
      <c r="L73" s="46">
        <f>VLOOKUP(VALUE(LEFT($A73, 4)), 'Raw Annual Revenue'!$A:L, 12, FALSE) / 4</f>
        <v>117024.25</v>
      </c>
      <c r="M73" s="43"/>
      <c r="N73" s="43"/>
      <c r="O73" s="47">
        <f>VLOOKUP(VALUE(LEFT(A75, 4)), 'Raw Annual Revenue'!A:O, 15, FALSE) / 4
</f>
        <v>22875.5</v>
      </c>
      <c r="P73" s="43"/>
      <c r="Q73" s="43"/>
      <c r="R73" s="46"/>
      <c r="S73" s="46">
        <f>VLOOKUP(VALUE(LEFT(A73, 4)), 'Raw Annual Revenue'!A:S, 19, FALSE) / 4</f>
        <v>44614.25</v>
      </c>
      <c r="T73" s="43"/>
      <c r="U73" s="43"/>
      <c r="V73" s="45">
        <f>VLOOKUP(VALUE(LEFT($A73, 4)), 'Raw Annual Revenue'!$A:V, 22, FALSE) / 4
</f>
        <v>233001.75</v>
      </c>
      <c r="W73" s="43"/>
      <c r="X73" s="45">
        <f>VLOOKUP(VALUE(LEFT($A75, 4)), 'Raw Annual Revenue'!$A:X, 24, FALSE) / 4
</f>
        <v>453813</v>
      </c>
      <c r="Y73" s="46">
        <f>VLOOKUP(VALUE(LEFT(A73, 4)), 'Raw Annual Revenue'!A:Y, 25, FALSE) / 4</f>
        <v>34554.9414</v>
      </c>
      <c r="Z73" s="46"/>
      <c r="AA73" s="46">
        <f>VLOOKUP(VALUE(LEFT($A73, 4)), 'Raw Annual Revenue'!$A:AA, 27, FALSE) / 4</f>
        <v>1573.25</v>
      </c>
      <c r="AB73" s="46"/>
      <c r="AC73" s="46"/>
      <c r="AD73" s="43"/>
    </row>
    <row r="74">
      <c r="A74" s="42" t="s">
        <v>101</v>
      </c>
      <c r="B74" s="43"/>
      <c r="C74" s="46">
        <f>VLOOKUP(VALUE(LEFT(A74, 4)), 'Raw Annual Revenue'!A:C, 3, FALSE) / 4
</f>
        <v>2110492.75</v>
      </c>
      <c r="D74" s="46">
        <f>VLOOKUP(VALUE(LEFT(A74, 4)), 'Raw Annual Revenue'!A:D, 4, FALSE) / 4
</f>
        <v>1440871.25</v>
      </c>
      <c r="E74" s="46">
        <f>VLOOKUP(VALUE(LEFT(A74, 4)), 'Raw Annual Revenue'!A:E, 5, FALSE) / 4
</f>
        <v>300168.25</v>
      </c>
      <c r="F74" s="46">
        <f>VLOOKUP(VALUE(LEFT(A74, 4)), 'Raw Annual Revenue'!A:F, 6, FALSE) / 4</f>
        <v>311500</v>
      </c>
      <c r="G74" s="46">
        <f>VLOOKUP(VALUE(LEFT(A74, 4)), 'Raw Annual Revenue'!A:G, 7, FALSE) / 4</f>
        <v>93890</v>
      </c>
      <c r="H74" s="46">
        <f>VLOOKUP(VALUE(LEFT(A77, 4)), 'Raw Annual Revenue'!A:H, 8, FALSE) / 4</f>
        <v>38746.25</v>
      </c>
      <c r="I74" s="43"/>
      <c r="J74" s="46">
        <f>VLOOKUP(VALUE(LEFT(A77, 4)), 'Raw Annual Revenue'!A:J, 10, FALSE) / 4</f>
        <v>75128.75</v>
      </c>
      <c r="K74" s="43"/>
      <c r="L74" s="46">
        <f>VLOOKUP(VALUE(LEFT($A74, 4)), 'Raw Annual Revenue'!$A:L, 12, FALSE) / 4</f>
        <v>117024.25</v>
      </c>
      <c r="M74" s="43"/>
      <c r="N74" s="43"/>
      <c r="O74" s="47">
        <f>VLOOKUP(VALUE(LEFT(A76, 4)), 'Raw Annual Revenue'!A:O, 15, FALSE) / 4
</f>
        <v>22875.5</v>
      </c>
      <c r="P74" s="43"/>
      <c r="Q74" s="43"/>
      <c r="R74" s="46"/>
      <c r="S74" s="46">
        <f>VLOOKUP(VALUE(LEFT(A74, 4)), 'Raw Annual Revenue'!A:S, 19, FALSE) / 4</f>
        <v>44614.25</v>
      </c>
      <c r="T74" s="43"/>
      <c r="U74" s="43"/>
      <c r="V74" s="45">
        <f>VLOOKUP(VALUE(LEFT($A74, 4)), 'Raw Annual Revenue'!$A:V, 22, FALSE) / 4
</f>
        <v>233001.75</v>
      </c>
      <c r="W74" s="43"/>
      <c r="X74" s="45">
        <f>VLOOKUP(VALUE(LEFT($A76, 4)), 'Raw Annual Revenue'!$A:X, 24, FALSE) / 4
</f>
        <v>453813</v>
      </c>
      <c r="Y74" s="46">
        <f>VLOOKUP(VALUE(LEFT(A74, 4)), 'Raw Annual Revenue'!A:Y, 25, FALSE) / 4</f>
        <v>34554.9414</v>
      </c>
      <c r="Z74" s="46"/>
      <c r="AA74" s="46">
        <f>VLOOKUP(VALUE(LEFT($A74, 4)), 'Raw Annual Revenue'!$A:AA, 27, FALSE) / 4</f>
        <v>1573.25</v>
      </c>
      <c r="AB74" s="46"/>
      <c r="AC74" s="46"/>
      <c r="AD74" s="43"/>
    </row>
    <row r="75">
      <c r="A75" s="42" t="s">
        <v>102</v>
      </c>
      <c r="B75" s="50">
        <f>VLOOKUP(VALUE(LEFT(A75, 4)), 'Raw Annual Revenue'!A:B, 2, FALSE) / 4
</f>
        <v>229760.25</v>
      </c>
      <c r="C75" s="46">
        <f>VLOOKUP(VALUE(LEFT(A75, 4)), 'Raw Annual Revenue'!A:C, 3, FALSE) / 4
</f>
        <v>2305996.75</v>
      </c>
      <c r="D75" s="46">
        <f>VLOOKUP(VALUE(LEFT(A75, 4)), 'Raw Annual Revenue'!A:D, 4, FALSE) / 4
</f>
        <v>1668079.25</v>
      </c>
      <c r="E75" s="46">
        <f>VLOOKUP(VALUE(LEFT(A75, 4)), 'Raw Annual Revenue'!A:E, 5, FALSE) / 4
</f>
        <v>419686</v>
      </c>
      <c r="F75" s="46">
        <f>VLOOKUP(VALUE(LEFT(A75, 4)), 'Raw Annual Revenue'!A:F, 6, FALSE) / 4</f>
        <v>373000</v>
      </c>
      <c r="G75" s="46">
        <f>VLOOKUP(VALUE(LEFT(A75, 4)), 'Raw Annual Revenue'!A:G, 7, FALSE) / 4</f>
        <v>134204.75</v>
      </c>
      <c r="H75" s="46">
        <f>VLOOKUP(VALUE(LEFT(A78, 4)), 'Raw Annual Revenue'!A:H, 8, FALSE) / 4</f>
        <v>38746.25</v>
      </c>
      <c r="I75" s="46">
        <f>VLOOKUP(VALUE(LEFT(A75, 4)), 'Raw Annual Revenue'!A:I, 9, FALSE) / 4</f>
        <v>105427.75</v>
      </c>
      <c r="J75" s="46">
        <f>VLOOKUP(VALUE(LEFT(A78, 4)), 'Raw Annual Revenue'!A:J, 10, FALSE) / 4</f>
        <v>75128.75</v>
      </c>
      <c r="K75" s="43"/>
      <c r="L75" s="46">
        <f>VLOOKUP(VALUE(LEFT($A75, 4)), 'Raw Annual Revenue'!$A:L, 12, FALSE) / 4</f>
        <v>135071.25</v>
      </c>
      <c r="M75" s="43"/>
      <c r="N75" s="43"/>
      <c r="O75" s="47">
        <f>VLOOKUP(VALUE(LEFT(A77, 4)), 'Raw Annual Revenue'!A:O, 15, FALSE) / 4
</f>
        <v>22875.5</v>
      </c>
      <c r="P75" s="43"/>
      <c r="Q75" s="43"/>
      <c r="R75" s="46"/>
      <c r="S75" s="46">
        <f>VLOOKUP(VALUE(LEFT(A75, 4)), 'Raw Annual Revenue'!A:S, 19, FALSE) / 4</f>
        <v>67959.25</v>
      </c>
      <c r="T75" s="43"/>
      <c r="U75" s="43"/>
      <c r="V75" s="43"/>
      <c r="W75" s="43"/>
      <c r="X75" s="45">
        <f>VLOOKUP(VALUE(LEFT($A77, 4)), 'Raw Annual Revenue'!$A:X, 24, FALSE) / 4
</f>
        <v>453813</v>
      </c>
      <c r="Y75" s="46">
        <f>VLOOKUP(VALUE(LEFT(A75, 4)), 'Raw Annual Revenue'!A:Y, 25, FALSE) / 4</f>
        <v>40732.9853</v>
      </c>
      <c r="Z75" s="46">
        <f>VLOOKUP(VALUE(LEFT($A75, 4)), 'Raw Annual Revenue'!$A:Z, 26, FALSE) / 4</f>
        <v>6539</v>
      </c>
      <c r="AA75" s="46">
        <f>VLOOKUP(VALUE(LEFT($A75, 4)), 'Raw Annual Revenue'!$A:AA, 27, FALSE) / 4</f>
        <v>21716</v>
      </c>
      <c r="AB75" s="46"/>
      <c r="AC75" s="46"/>
      <c r="AD75" s="43"/>
    </row>
    <row r="76">
      <c r="A76" s="42" t="s">
        <v>103</v>
      </c>
      <c r="B76" s="50">
        <f>VLOOKUP(VALUE(LEFT(A76, 4)), 'Raw Annual Revenue'!A:B, 2, FALSE) / 4
</f>
        <v>229760.25</v>
      </c>
      <c r="C76" s="46">
        <f>VLOOKUP(VALUE(LEFT(A76, 4)), 'Raw Annual Revenue'!A:C, 3, FALSE) / 4
</f>
        <v>2305996.75</v>
      </c>
      <c r="D76" s="46">
        <f>VLOOKUP(VALUE(LEFT(A76, 4)), 'Raw Annual Revenue'!A:D, 4, FALSE) / 4
</f>
        <v>1668079.25</v>
      </c>
      <c r="E76" s="46">
        <f>VLOOKUP(VALUE(LEFT(A76, 4)), 'Raw Annual Revenue'!A:E, 5, FALSE) / 4
</f>
        <v>419686</v>
      </c>
      <c r="F76" s="46">
        <f>VLOOKUP(VALUE(LEFT(A76, 4)), 'Raw Annual Revenue'!A:F, 6, FALSE) / 4</f>
        <v>373000</v>
      </c>
      <c r="G76" s="46">
        <f>VLOOKUP(VALUE(LEFT(A76, 4)), 'Raw Annual Revenue'!A:G, 7, FALSE) / 4</f>
        <v>134204.75</v>
      </c>
      <c r="H76" s="46">
        <f>VLOOKUP(VALUE(LEFT(A79, 4)), 'Raw Annual Revenue'!A:H, 8, FALSE) / 4</f>
        <v>131854</v>
      </c>
      <c r="I76" s="46">
        <f>VLOOKUP(VALUE(LEFT(A76, 4)), 'Raw Annual Revenue'!A:I, 9, FALSE) / 4</f>
        <v>105427.75</v>
      </c>
      <c r="J76" s="46">
        <f>VLOOKUP(VALUE(LEFT(A79, 4)), 'Raw Annual Revenue'!A:J, 10, FALSE) / 4</f>
        <v>84267</v>
      </c>
      <c r="K76" s="43"/>
      <c r="L76" s="46">
        <f>VLOOKUP(VALUE(LEFT($A76, 4)), 'Raw Annual Revenue'!$A:L, 12, FALSE) / 4</f>
        <v>135071.25</v>
      </c>
      <c r="M76" s="43"/>
      <c r="N76" s="43"/>
      <c r="O76" s="47">
        <f>VLOOKUP(VALUE(LEFT(A78, 4)), 'Raw Annual Revenue'!A:O, 15, FALSE) / 4
</f>
        <v>22875.5</v>
      </c>
      <c r="P76" s="43"/>
      <c r="Q76" s="43"/>
      <c r="R76" s="46"/>
      <c r="S76" s="46">
        <f>VLOOKUP(VALUE(LEFT(A76, 4)), 'Raw Annual Revenue'!A:S, 19, FALSE) / 4</f>
        <v>67959.25</v>
      </c>
      <c r="T76" s="43"/>
      <c r="U76" s="43"/>
      <c r="V76" s="43"/>
      <c r="W76" s="43"/>
      <c r="X76" s="45">
        <f>VLOOKUP(VALUE(LEFT($A78, 4)), 'Raw Annual Revenue'!$A:X, 24, FALSE) / 4
</f>
        <v>453813</v>
      </c>
      <c r="Y76" s="46">
        <f>VLOOKUP(VALUE(LEFT(A76, 4)), 'Raw Annual Revenue'!A:Y, 25, FALSE) / 4</f>
        <v>40732.9853</v>
      </c>
      <c r="Z76" s="46">
        <f>VLOOKUP(VALUE(LEFT($A76, 4)), 'Raw Annual Revenue'!$A:Z, 26, FALSE) / 4</f>
        <v>6539</v>
      </c>
      <c r="AA76" s="46">
        <f>VLOOKUP(VALUE(LEFT($A76, 4)), 'Raw Annual Revenue'!$A:AA, 27, FALSE) / 4</f>
        <v>21716</v>
      </c>
      <c r="AB76" s="46"/>
      <c r="AC76" s="46"/>
      <c r="AD76" s="43"/>
    </row>
    <row r="77">
      <c r="A77" s="42" t="s">
        <v>104</v>
      </c>
      <c r="B77" s="50">
        <f>VLOOKUP(VALUE(LEFT(A77, 4)), 'Raw Annual Revenue'!A:B, 2, FALSE) / 4
</f>
        <v>229760.25</v>
      </c>
      <c r="C77" s="46">
        <f>VLOOKUP(VALUE(LEFT(A77, 4)), 'Raw Annual Revenue'!A:C, 3, FALSE) / 4
</f>
        <v>2305996.75</v>
      </c>
      <c r="D77" s="46">
        <f>VLOOKUP(VALUE(LEFT(A77, 4)), 'Raw Annual Revenue'!A:D, 4, FALSE) / 4
</f>
        <v>1668079.25</v>
      </c>
      <c r="E77" s="46">
        <f>VLOOKUP(VALUE(LEFT(A77, 4)), 'Raw Annual Revenue'!A:E, 5, FALSE) / 4
</f>
        <v>419686</v>
      </c>
      <c r="F77" s="46">
        <f>VLOOKUP(VALUE(LEFT(A77, 4)), 'Raw Annual Revenue'!A:F, 6, FALSE) / 4</f>
        <v>373000</v>
      </c>
      <c r="G77" s="46">
        <f>VLOOKUP(VALUE(LEFT(A77, 4)), 'Raw Annual Revenue'!A:G, 7, FALSE) / 4</f>
        <v>134204.75</v>
      </c>
      <c r="H77" s="46">
        <f>VLOOKUP(VALUE(LEFT(A80, 4)), 'Raw Annual Revenue'!A:H, 8, FALSE) / 4</f>
        <v>131854</v>
      </c>
      <c r="I77" s="46">
        <f>VLOOKUP(VALUE(LEFT(A77, 4)), 'Raw Annual Revenue'!A:I, 9, FALSE) / 4</f>
        <v>105427.75</v>
      </c>
      <c r="J77" s="46">
        <f>VLOOKUP(VALUE(LEFT(A80, 4)), 'Raw Annual Revenue'!A:J, 10, FALSE) / 4</f>
        <v>84267</v>
      </c>
      <c r="K77" s="43"/>
      <c r="L77" s="46">
        <f>VLOOKUP(VALUE(LEFT($A77, 4)), 'Raw Annual Revenue'!$A:L, 12, FALSE) / 4</f>
        <v>135071.25</v>
      </c>
      <c r="M77" s="43"/>
      <c r="N77" s="43"/>
      <c r="O77" s="47">
        <f>VLOOKUP(VALUE(LEFT(A79, 4)), 'Raw Annual Revenue'!A:O, 15, FALSE) / 4
</f>
        <v>28673.75</v>
      </c>
      <c r="P77" s="43"/>
      <c r="Q77" s="43"/>
      <c r="R77" s="46"/>
      <c r="S77" s="46">
        <f>VLOOKUP(VALUE(LEFT(A77, 4)), 'Raw Annual Revenue'!A:S, 19, FALSE) / 4</f>
        <v>67959.25</v>
      </c>
      <c r="T77" s="43"/>
      <c r="U77" s="43"/>
      <c r="V77" s="43"/>
      <c r="W77" s="43"/>
      <c r="X77" s="45">
        <f>VLOOKUP(VALUE(LEFT($A79, 4)), 'Raw Annual Revenue'!$A:X, 24, FALSE) / 4
</f>
        <v>489524</v>
      </c>
      <c r="Y77" s="46">
        <f>VLOOKUP(VALUE(LEFT(A77, 4)), 'Raw Annual Revenue'!A:Y, 25, FALSE) / 4</f>
        <v>40732.9853</v>
      </c>
      <c r="Z77" s="46">
        <f>VLOOKUP(VALUE(LEFT($A77, 4)), 'Raw Annual Revenue'!$A:Z, 26, FALSE) / 4</f>
        <v>6539</v>
      </c>
      <c r="AA77" s="46">
        <f>VLOOKUP(VALUE(LEFT($A77, 4)), 'Raw Annual Revenue'!$A:AA, 27, FALSE) / 4</f>
        <v>21716</v>
      </c>
      <c r="AB77" s="46"/>
      <c r="AC77" s="46"/>
      <c r="AD77" s="43"/>
    </row>
    <row r="78">
      <c r="A78" s="42" t="s">
        <v>105</v>
      </c>
      <c r="B78" s="50">
        <f>VLOOKUP(VALUE(LEFT(A78, 4)), 'Raw Annual Revenue'!A:B, 2, FALSE) / 4
</f>
        <v>229760.25</v>
      </c>
      <c r="C78" s="46">
        <f>VLOOKUP(VALUE(LEFT(A78, 4)), 'Raw Annual Revenue'!A:C, 3, FALSE) / 4
</f>
        <v>2305996.75</v>
      </c>
      <c r="D78" s="46">
        <f>VLOOKUP(VALUE(LEFT(A78, 4)), 'Raw Annual Revenue'!A:D, 4, FALSE) / 4
</f>
        <v>1668079.25</v>
      </c>
      <c r="E78" s="46">
        <f>VLOOKUP(VALUE(LEFT(A78, 4)), 'Raw Annual Revenue'!A:E, 5, FALSE) / 4
</f>
        <v>419686</v>
      </c>
      <c r="F78" s="46">
        <f>VLOOKUP(VALUE(LEFT(A78, 4)), 'Raw Annual Revenue'!A:F, 6, FALSE) / 4</f>
        <v>373000</v>
      </c>
      <c r="G78" s="46">
        <f>VLOOKUP(VALUE(LEFT(A78, 4)), 'Raw Annual Revenue'!A:G, 7, FALSE) / 4</f>
        <v>134204.75</v>
      </c>
      <c r="H78" s="46">
        <f>VLOOKUP(VALUE(LEFT(A81, 4)), 'Raw Annual Revenue'!A:H, 8, FALSE) / 4</f>
        <v>131854</v>
      </c>
      <c r="I78" s="46">
        <f>VLOOKUP(VALUE(LEFT(A78, 4)), 'Raw Annual Revenue'!A:I, 9, FALSE) / 4</f>
        <v>105427.75</v>
      </c>
      <c r="J78" s="46">
        <f>VLOOKUP(VALUE(LEFT(A81, 4)), 'Raw Annual Revenue'!A:J, 10, FALSE) / 4</f>
        <v>84267</v>
      </c>
      <c r="K78" s="43"/>
      <c r="L78" s="46">
        <f>VLOOKUP(VALUE(LEFT($A78, 4)), 'Raw Annual Revenue'!$A:L, 12, FALSE) / 4</f>
        <v>135071.25</v>
      </c>
      <c r="M78" s="43"/>
      <c r="N78" s="43"/>
      <c r="O78" s="47">
        <f>VLOOKUP(VALUE(LEFT(A80, 4)), 'Raw Annual Revenue'!A:O, 15, FALSE) / 4
</f>
        <v>28673.75</v>
      </c>
      <c r="P78" s="43"/>
      <c r="Q78" s="43"/>
      <c r="R78" s="46"/>
      <c r="S78" s="46">
        <f>VLOOKUP(VALUE(LEFT(A78, 4)), 'Raw Annual Revenue'!A:S, 19, FALSE) / 4</f>
        <v>67959.25</v>
      </c>
      <c r="T78" s="43"/>
      <c r="U78" s="43"/>
      <c r="V78" s="43"/>
      <c r="W78" s="43"/>
      <c r="X78" s="45">
        <f>VLOOKUP(VALUE(LEFT($A80, 4)), 'Raw Annual Revenue'!$A:X, 24, FALSE) / 4
</f>
        <v>489524</v>
      </c>
      <c r="Y78" s="46">
        <f>VLOOKUP(VALUE(LEFT(A78, 4)), 'Raw Annual Revenue'!A:Y, 25, FALSE) / 4</f>
        <v>40732.9853</v>
      </c>
      <c r="Z78" s="46">
        <f>VLOOKUP(VALUE(LEFT($A78, 4)), 'Raw Annual Revenue'!$A:Z, 26, FALSE) / 4</f>
        <v>6539</v>
      </c>
      <c r="AA78" s="46">
        <f>VLOOKUP(VALUE(LEFT($A78, 4)), 'Raw Annual Revenue'!$A:AA, 27, FALSE) / 4</f>
        <v>21716</v>
      </c>
      <c r="AB78" s="46"/>
      <c r="AC78" s="46"/>
      <c r="AD78" s="43"/>
    </row>
    <row r="79">
      <c r="A79" s="42" t="s">
        <v>106</v>
      </c>
      <c r="B79" s="50">
        <f>VLOOKUP(VALUE(LEFT(A79, 4)), 'Raw Annual Revenue'!A:B, 2, FALSE) / 4
</f>
        <v>413894</v>
      </c>
      <c r="C79" s="51">
        <f>IFERROR(__xludf.DUMMYFUNCTION("IMPORTRANGE(""https://docs.google.com/spreadsheets/d/1bozxp9FwhaCNzy-RRGPVPfVYTttO4PUGDdaFvbz-Ue0/edit?gid=1870218791#gid=1870218791"", ""Rev vs Mktg &amp; Mktg Mix!C"" &amp; ROW(B17))
"),2148.0)</f>
        <v>2148</v>
      </c>
      <c r="D79" s="51">
        <f>IFERROR(__xludf.DUMMYFUNCTION("IMPORTRANGE(""https://docs.google.com/spreadsheets/d/1bozxp9FwhaCNzy-RRGPVPfVYTttO4PUGDdaFvbz-Ue0/edit?gid=1870218791#gid=1870218791"", ""Rev vs Mktg &amp; Mktg Mix!D"" &amp; ROW(C17))
"),1904.0)</f>
        <v>1904</v>
      </c>
      <c r="E79" s="51">
        <f>IFERROR(__xludf.DUMMYFUNCTION("IMPORTRANGE(""https://docs.google.com/spreadsheets/d/1bozxp9FwhaCNzy-RRGPVPfVYTttO4PUGDdaFvbz-Ue0/edit?gid=1870218791#gid=1870218791"", ""Rev vs Mktg &amp; Mktg Mix!E"" &amp; ROW(E17))
"),682.0)</f>
        <v>682</v>
      </c>
      <c r="F79" s="51">
        <f>IFERROR(__xludf.DUMMYFUNCTION("IMPORTRANGE(""https://docs.google.com/spreadsheets/d/1bozxp9FwhaCNzy-RRGPVPfVYTttO4PUGDdaFvbz-Ue0/edit?gid=1870218791#gid=1870218791"", ""Rev vs Mktg &amp; Mktg Mix!F"" &amp; ROW(G17))
"),352.0)</f>
        <v>352</v>
      </c>
      <c r="G79" s="51">
        <f>IFERROR(__xludf.DUMMYFUNCTION("IMPORTRANGE(""https://docs.google.com/spreadsheets/d/1bozxp9FwhaCNzy-RRGPVPfVYTttO4PUGDdaFvbz-Ue0/edit?gid=1870218791#gid=1870218791"", ""Rev vs Mktg &amp; Mktg Mix!G"" &amp; ROW(I17))
"),159.4)</f>
        <v>159.4</v>
      </c>
      <c r="H79" s="46">
        <f>VLOOKUP(VALUE(LEFT(A82, 4)), 'Raw Annual Revenue'!A:H, 8, FALSE) / 4</f>
        <v>131854</v>
      </c>
      <c r="I79" s="51">
        <f>IFERROR(__xludf.DUMMYFUNCTION("IMPORTRANGE(""https://docs.google.com/spreadsheets/d/1bozxp9FwhaCNzy-RRGPVPfVYTttO4PUGDdaFvbz-Ue0/edit?gid=1870218791#gid=1870218791"", ""Rev vs Mktg &amp; Mktg Mix!I"" &amp; ROW(K17))
"),95.0)</f>
        <v>95</v>
      </c>
      <c r="J79" s="51">
        <f>IFERROR(__xludf.DUMMYFUNCTION("IMPORTRANGE(""https://docs.google.com/spreadsheets/d/1bozxp9FwhaCNzy-RRGPVPfVYTttO4PUGDdaFvbz-Ue0/edit?gid=1870218791#gid=1870218791"", ""Rev vs Mktg &amp; Mktg Mix!J"" &amp; ROW(J17))
"),88.0)</f>
        <v>88</v>
      </c>
      <c r="K79" s="52"/>
      <c r="L79" s="51">
        <f>IFERROR(__xludf.DUMMYFUNCTION("IMPORTRANGE(""https://docs.google.com/spreadsheets/d/1bozxp9FwhaCNzy-RRGPVPfVYTttO4PUGDdaFvbz-Ue0/edit?gid=1870218791#gid=1870218791"", ""Rev vs Mktg &amp; Mktg Mix!L"" &amp; ROW(N19))
"),139.6045057155)</f>
        <v>139.6045057</v>
      </c>
      <c r="M79" s="43"/>
      <c r="N79" s="57">
        <f>IFERROR(__xludf.DUMMYFUNCTION("IMPORTRANGE(""https://docs.google.com/spreadsheets/d/1bozxp9FwhaCNzy-RRGPVPfVYTttO4PUGDdaFvbz-Ue0/edit?gid=1870218791#gid=1870218791"", ""Rev vs Mktg &amp; Mktg Mix!N"" &amp; ROW(N17))
"),2.108)</f>
        <v>2.108</v>
      </c>
      <c r="O79" s="47">
        <f>VLOOKUP(VALUE(LEFT(A81, 4)), 'Raw Annual Revenue'!A:O, 15, FALSE) / 4
</f>
        <v>28673.75</v>
      </c>
      <c r="P79" s="43"/>
      <c r="Q79" s="43"/>
      <c r="R79" s="46"/>
      <c r="S79" s="46">
        <f>VLOOKUP(VALUE(LEFT(A79, 4)), 'Raw Annual Revenue'!A:S, 19, FALSE) / 4</f>
        <v>68920.5</v>
      </c>
      <c r="T79" s="43"/>
      <c r="U79" s="43"/>
      <c r="V79" s="43"/>
      <c r="W79" s="43"/>
      <c r="X79" s="45">
        <f>VLOOKUP(VALUE(LEFT($A81, 4)), 'Raw Annual Revenue'!$A:X, 24, FALSE) / 4
</f>
        <v>489524</v>
      </c>
      <c r="Y79" s="46">
        <f>VLOOKUP(VALUE(LEFT(A79, 4)), 'Raw Annual Revenue'!A:Y, 25, FALSE) / 4</f>
        <v>48698.38965</v>
      </c>
      <c r="Z79" s="46">
        <f>VLOOKUP(VALUE(LEFT($A79, 4)), 'Raw Annual Revenue'!$A:Z, 26, FALSE) / 4</f>
        <v>9266.25</v>
      </c>
      <c r="AA79" s="46">
        <f>VLOOKUP(VALUE(LEFT($A79, 4)), 'Raw Annual Revenue'!$A:AA, 27, FALSE) / 4</f>
        <v>82239.5</v>
      </c>
      <c r="AB79" s="46"/>
      <c r="AC79" s="46">
        <f>VLOOKUP(VALUE(LEFT($A79, 4)), 'Raw Annual Revenue'!$A:AC, 29, FALSE) / 4</f>
        <v>16580.67625</v>
      </c>
      <c r="AD79" s="43"/>
    </row>
    <row r="80">
      <c r="A80" s="42" t="s">
        <v>107</v>
      </c>
      <c r="B80" s="50">
        <f>VLOOKUP(VALUE(LEFT(A80, 4)), 'Raw Annual Revenue'!A:B, 2, FALSE) / 4
</f>
        <v>413894</v>
      </c>
      <c r="C80" s="54">
        <f>IFERROR(__xludf.DUMMYFUNCTION("IMPORTRANGE(""https://docs.google.com/spreadsheets/d/1bozxp9FwhaCNzy-RRGPVPfVYTttO4PUGDdaFvbz-Ue0/edit?gid=1870218791#gid=1870218791"", ""Rev vs Mktg &amp; Mktg Mix!C"" &amp; ROW(B18))
"),2556.0)</f>
        <v>2556</v>
      </c>
      <c r="D80" s="54">
        <f>IFERROR(__xludf.DUMMYFUNCTION("IMPORTRANGE(""https://docs.google.com/spreadsheets/d/1bozxp9FwhaCNzy-RRGPVPfVYTttO4PUGDdaFvbz-Ue0/edit?gid=1870218791#gid=1870218791"", ""Rev vs Mktg &amp; Mktg Mix!D"" &amp; ROW(C18))
"),2196.0)</f>
        <v>2196</v>
      </c>
      <c r="E80" s="54">
        <f>IFERROR(__xludf.DUMMYFUNCTION("IMPORTRANGE(""https://docs.google.com/spreadsheets/d/1bozxp9FwhaCNzy-RRGPVPfVYTttO4PUGDdaFvbz-Ue0/edit?gid=1870218791#gid=1870218791"", ""Rev vs Mktg &amp; Mktg Mix!E"" &amp; ROW(E18))
"),684.0)</f>
        <v>684</v>
      </c>
      <c r="F80" s="54">
        <f>IFERROR(__xludf.DUMMYFUNCTION("IMPORTRANGE(""https://docs.google.com/spreadsheets/d/1bozxp9FwhaCNzy-RRGPVPfVYTttO4PUGDdaFvbz-Ue0/edit?gid=1870218791#gid=1870218791"", ""Rev vs Mktg &amp; Mktg Mix!F"" &amp; ROW(G18))
"),391.0)</f>
        <v>391</v>
      </c>
      <c r="G80" s="54">
        <f>IFERROR(__xludf.DUMMYFUNCTION("IMPORTRANGE(""https://docs.google.com/spreadsheets/d/1bozxp9FwhaCNzy-RRGPVPfVYTttO4PUGDdaFvbz-Ue0/edit?gid=1870218791#gid=1870218791"", ""Rev vs Mktg &amp; Mktg Mix!G"" &amp; ROW(I18))
"),179.0)</f>
        <v>179</v>
      </c>
      <c r="H80" s="46">
        <f>VLOOKUP(VALUE(LEFT(A83, 4)), 'Raw Annual Revenue'!A:H, 8, FALSE) / 4</f>
        <v>130046.25</v>
      </c>
      <c r="I80" s="58">
        <f>IFERROR(__xludf.DUMMYFUNCTION("IMPORTRANGE(""https://docs.google.com/spreadsheets/d/1bozxp9FwhaCNzy-RRGPVPfVYTttO4PUGDdaFvbz-Ue0/edit?gid=1870218791#gid=1870218791"", ""Rev vs Mktg &amp; Mktg Mix!I"" &amp; ROW(K18))
"),99.0)</f>
        <v>99</v>
      </c>
      <c r="J80" s="58">
        <f>IFERROR(__xludf.DUMMYFUNCTION("IMPORTRANGE(""https://docs.google.com/spreadsheets/d/1bozxp9FwhaCNzy-RRGPVPfVYTttO4PUGDdaFvbz-Ue0/edit?gid=1870218791#gid=1870218791"", ""Rev vs Mktg &amp; Mktg Mix!J"" &amp; ROW(J18))
"),121.0)</f>
        <v>121</v>
      </c>
      <c r="K80" s="43"/>
      <c r="L80" s="58">
        <f>IFERROR(__xludf.DUMMYFUNCTION("IMPORTRANGE(""https://docs.google.com/spreadsheets/d/1bozxp9FwhaCNzy-RRGPVPfVYTttO4PUGDdaFvbz-Ue0/edit?gid=1870218791#gid=1870218791"", ""Rev vs Mktg &amp; Mktg Mix!L"" &amp; ROW(N18))
"),165.724190268)</f>
        <v>165.7241903</v>
      </c>
      <c r="M80" s="43"/>
      <c r="N80" s="57">
        <f>IFERROR(__xludf.DUMMYFUNCTION("IMPORTRANGE(""https://docs.google.com/spreadsheets/d/1bozxp9FwhaCNzy-RRGPVPfVYTttO4PUGDdaFvbz-Ue0/edit?gid=1870218791#gid=1870218791"", ""Rev vs Mktg &amp; Mktg Mix!N"" &amp; ROW(N18))
"),2.229)</f>
        <v>2.229</v>
      </c>
      <c r="O80" s="47">
        <f>VLOOKUP(VALUE(LEFT(A82, 4)), 'Raw Annual Revenue'!A:O, 15, FALSE) / 4
</f>
        <v>28673.75</v>
      </c>
      <c r="P80" s="43"/>
      <c r="Q80" s="43"/>
      <c r="R80" s="46"/>
      <c r="S80" s="46">
        <f>VLOOKUP(VALUE(LEFT(A80, 4)), 'Raw Annual Revenue'!A:S, 19, FALSE) / 4</f>
        <v>68920.5</v>
      </c>
      <c r="T80" s="45">
        <f>VLOOKUP(VALUE(LEFT(A83, 4)), 'Raw Annual Revenue'!A:T, 20, FALSE) / 4</f>
        <v>4927.5</v>
      </c>
      <c r="U80" s="43"/>
      <c r="V80" s="43"/>
      <c r="W80" s="43"/>
      <c r="X80" s="45">
        <f>VLOOKUP(VALUE(LEFT($A82, 4)), 'Raw Annual Revenue'!$A:X, 24, FALSE) / 4
</f>
        <v>489524</v>
      </c>
      <c r="Y80" s="46">
        <f>VLOOKUP(VALUE(LEFT(A80, 4)), 'Raw Annual Revenue'!A:Y, 25, FALSE) / 4</f>
        <v>48698.38965</v>
      </c>
      <c r="Z80" s="46">
        <f>VLOOKUP(VALUE(LEFT($A80, 4)), 'Raw Annual Revenue'!$A:Z, 26, FALSE) / 4</f>
        <v>9266.25</v>
      </c>
      <c r="AA80" s="46">
        <f>VLOOKUP(VALUE(LEFT($A80, 4)), 'Raw Annual Revenue'!$A:AA, 27, FALSE) / 4</f>
        <v>82239.5</v>
      </c>
      <c r="AB80" s="46"/>
      <c r="AC80" s="46">
        <f>VLOOKUP(VALUE(LEFT($A80, 4)), 'Raw Annual Revenue'!$A:AC, 29, FALSE) / 4</f>
        <v>16580.67625</v>
      </c>
      <c r="AD80" s="43"/>
    </row>
    <row r="81">
      <c r="A81" s="42" t="s">
        <v>108</v>
      </c>
      <c r="B81" s="50">
        <f>VLOOKUP(VALUE(LEFT(A81, 4)), 'Raw Annual Revenue'!A:B, 2, FALSE) / 4
</f>
        <v>413894</v>
      </c>
      <c r="C81" s="54">
        <f>IFERROR(__xludf.DUMMYFUNCTION("IMPORTRANGE(""https://docs.google.com/spreadsheets/d/1bozxp9FwhaCNzy-RRGPVPfVYTttO4PUGDdaFvbz-Ue0/edit?gid=1870218791#gid=1870218791"", ""Rev vs Mktg &amp; Mktg Mix!C"" &amp; ROW(B19))
"),3691.0)</f>
        <v>3691</v>
      </c>
      <c r="D81" s="54">
        <f>IFERROR(__xludf.DUMMYFUNCTION("IMPORTRANGE(""https://docs.google.com/spreadsheets/d/1bozxp9FwhaCNzy-RRGPVPfVYTttO4PUGDdaFvbz-Ue0/edit?gid=1870218791#gid=1870218791"", ""Rev vs Mktg &amp; Mktg Mix!D"" &amp; ROW(C19))
"),2581.0)</f>
        <v>2581</v>
      </c>
      <c r="E81" s="54">
        <f>IFERROR(__xludf.DUMMYFUNCTION("IMPORTRANGE(""https://docs.google.com/spreadsheets/d/1bozxp9FwhaCNzy-RRGPVPfVYTttO4PUGDdaFvbz-Ue0/edit?gid=1870218791#gid=1870218791"", ""Rev vs Mktg &amp; Mktg Mix!E"" &amp; ROW(E19))
"),850.0)</f>
        <v>850</v>
      </c>
      <c r="F81" s="54">
        <f>IFERROR(__xludf.DUMMYFUNCTION("IMPORTRANGE(""https://docs.google.com/spreadsheets/d/1bozxp9FwhaCNzy-RRGPVPfVYTttO4PUGDdaFvbz-Ue0/edit?gid=1870218791#gid=1870218791"", ""Rev vs Mktg &amp; Mktg Mix!F"" &amp; ROW(G19))
"),421.0)</f>
        <v>421</v>
      </c>
      <c r="G81" s="54">
        <f>IFERROR(__xludf.DUMMYFUNCTION("IMPORTRANGE(""https://docs.google.com/spreadsheets/d/1bozxp9FwhaCNzy-RRGPVPfVYTttO4PUGDdaFvbz-Ue0/edit?gid=1870218791#gid=1870218791"", ""Rev vs Mktg &amp; Mktg Mix!G"" &amp; ROW(I19))
"),247.0)</f>
        <v>247</v>
      </c>
      <c r="H81" s="46">
        <f>VLOOKUP(VALUE(LEFT(A84, 4)), 'Raw Annual Revenue'!A:H, 8, FALSE) / 4</f>
        <v>130046.25</v>
      </c>
      <c r="I81" s="58">
        <f>IFERROR(__xludf.DUMMYFUNCTION("IMPORTRANGE(""https://docs.google.com/spreadsheets/d/1bozxp9FwhaCNzy-RRGPVPfVYTttO4PUGDdaFvbz-Ue0/edit?gid=1870218791#gid=1870218791"", ""Rev vs Mktg &amp; Mktg Mix!I"" &amp; ROW(K19))
"),106.0)</f>
        <v>106</v>
      </c>
      <c r="J81" s="58">
        <f>IFERROR(__xludf.DUMMYFUNCTION("IMPORTRANGE(""https://docs.google.com/spreadsheets/d/1bozxp9FwhaCNzy-RRGPVPfVYTttO4PUGDdaFvbz-Ue0/edit?gid=1870218791#gid=1870218791"", ""Rev vs Mktg &amp; Mktg Mix!J"" &amp; ROW(J19))
"),83.0)</f>
        <v>83</v>
      </c>
      <c r="K81" s="43"/>
      <c r="L81" s="58">
        <f>IFERROR(__xludf.DUMMYFUNCTION("IMPORTRANGE(""https://docs.google.com/spreadsheets/d/1bozxp9FwhaCNzy-RRGPVPfVYTttO4PUGDdaFvbz-Ue0/edit?gid=1870218791#gid=1870218791"", ""Rev vs Mktg &amp; Mktg Mix!L"" &amp; ROW(N19))
"),139.6045057155)</f>
        <v>139.6045057</v>
      </c>
      <c r="M81" s="43"/>
      <c r="N81" s="57">
        <f>IFERROR(__xludf.DUMMYFUNCTION("IMPORTRANGE(""https://docs.google.com/spreadsheets/d/1bozxp9FwhaCNzy-RRGPVPfVYTttO4PUGDdaFvbz-Ue0/edit?gid=1870218791#gid=1870218791"", ""Rev vs Mktg &amp; Mktg Mix!N"" &amp; ROW(N19))
"),2.574)</f>
        <v>2.574</v>
      </c>
      <c r="O81" s="47">
        <f>VLOOKUP(VALUE(LEFT(A83, 4)), 'Raw Annual Revenue'!A:O, 15, FALSE) / 4
</f>
        <v>39747.75</v>
      </c>
      <c r="P81" s="43"/>
      <c r="Q81" s="43"/>
      <c r="R81" s="46"/>
      <c r="S81" s="46">
        <f>VLOOKUP(VALUE(LEFT(A81, 4)), 'Raw Annual Revenue'!A:S, 19, FALSE) / 4</f>
        <v>68920.5</v>
      </c>
      <c r="T81" s="45">
        <f>VLOOKUP(VALUE(LEFT(A84, 4)), 'Raw Annual Revenue'!A:T, 20, FALSE) / 4</f>
        <v>4927.5</v>
      </c>
      <c r="U81" s="43"/>
      <c r="V81" s="43"/>
      <c r="W81" s="43"/>
      <c r="X81" s="45">
        <f>VLOOKUP(VALUE(LEFT($A83, 4)), 'Raw Annual Revenue'!$A:X, 24, FALSE) / 4
</f>
        <v>509196.75</v>
      </c>
      <c r="Y81" s="46">
        <f>VLOOKUP(VALUE(LEFT(A81, 4)), 'Raw Annual Revenue'!A:Y, 25, FALSE) / 4</f>
        <v>48698.38965</v>
      </c>
      <c r="Z81" s="46">
        <f>VLOOKUP(VALUE(LEFT($A81, 4)), 'Raw Annual Revenue'!$A:Z, 26, FALSE) / 4</f>
        <v>9266.25</v>
      </c>
      <c r="AA81" s="46">
        <f>VLOOKUP(VALUE(LEFT($A81, 4)), 'Raw Annual Revenue'!$A:AA, 27, FALSE) / 4</f>
        <v>82239.5</v>
      </c>
      <c r="AB81" s="46"/>
      <c r="AC81" s="46">
        <f>VLOOKUP(VALUE(LEFT($A81, 4)), 'Raw Annual Revenue'!$A:AC, 29, FALSE) / 4</f>
        <v>16580.67625</v>
      </c>
      <c r="AD81" s="43"/>
    </row>
    <row r="82">
      <c r="A82" s="42" t="s">
        <v>109</v>
      </c>
      <c r="B82" s="50">
        <f>VLOOKUP(VALUE(LEFT(A82, 4)), 'Raw Annual Revenue'!A:B, 2, FALSE) / 4
</f>
        <v>413894</v>
      </c>
      <c r="C82" s="54">
        <f>IFERROR(__xludf.DUMMYFUNCTION("IMPORTRANGE(""https://docs.google.com/spreadsheets/d/1bozxp9FwhaCNzy-RRGPVPfVYTttO4PUGDdaFvbz-Ue0/edit?gid=1870218791#gid=1870218791"", ""Rev vs Mktg &amp; Mktg Mix!C"" &amp; ROW(B20))
"),2348.0)</f>
        <v>2348</v>
      </c>
      <c r="D82" s="54">
        <f>IFERROR(__xludf.DUMMYFUNCTION("IMPORTRANGE(""https://docs.google.com/spreadsheets/d/1bozxp9FwhaCNzy-RRGPVPfVYTttO4PUGDdaFvbz-Ue0/edit?gid=1870218791#gid=1870218791"", ""Rev vs Mktg &amp; Mktg Mix!D"" &amp; ROW(C20))
"),2093.0)</f>
        <v>2093</v>
      </c>
      <c r="E82" s="54">
        <f>IFERROR(__xludf.DUMMYFUNCTION("IMPORTRANGE(""https://docs.google.com/spreadsheets/d/1bozxp9FwhaCNzy-RRGPVPfVYTttO4PUGDdaFvbz-Ue0/edit?gid=1870218791#gid=1870218791"", ""Rev vs Mktg &amp; Mktg Mix!E"" &amp; ROW(E20))
"),746.0)</f>
        <v>746</v>
      </c>
      <c r="F82" s="54">
        <f>IFERROR(__xludf.DUMMYFUNCTION("IMPORTRANGE(""https://docs.google.com/spreadsheets/d/1bozxp9FwhaCNzy-RRGPVPfVYTttO4PUGDdaFvbz-Ue0/edit?gid=1870218791#gid=1870218791"", ""Rev vs Mktg &amp; Mktg Mix!F"" &amp; ROW(G20))
"),316.0)</f>
        <v>316</v>
      </c>
      <c r="G82" s="54">
        <f>IFERROR(__xludf.DUMMYFUNCTION("IMPORTRANGE(""https://docs.google.com/spreadsheets/d/1bozxp9FwhaCNzy-RRGPVPfVYTttO4PUGDdaFvbz-Ue0/edit?gid=1870218791#gid=1870218791"", ""Rev vs Mktg &amp; Mktg Mix!G"" &amp; ROW(I20))
"),169.0)</f>
        <v>169</v>
      </c>
      <c r="H82" s="46">
        <f>VLOOKUP(VALUE(LEFT(A85, 4)), 'Raw Annual Revenue'!A:H, 8, FALSE) / 4</f>
        <v>130046.25</v>
      </c>
      <c r="I82" s="58">
        <f>IFERROR(__xludf.DUMMYFUNCTION("IMPORTRANGE(""https://docs.google.com/spreadsheets/d/1bozxp9FwhaCNzy-RRGPVPfVYTttO4PUGDdaFvbz-Ue0/edit?gid=1870218791#gid=1870218791"", ""Rev vs Mktg &amp; Mktg Mix!I"" &amp; ROW(K20))
"),111.0)</f>
        <v>111</v>
      </c>
      <c r="J82" s="58">
        <f>IFERROR(__xludf.DUMMYFUNCTION("IMPORTRANGE(""https://docs.google.com/spreadsheets/d/1bozxp9FwhaCNzy-RRGPVPfVYTttO4PUGDdaFvbz-Ue0/edit?gid=1870218791#gid=1870218791"", ""Rev vs Mktg &amp; Mktg Mix!J"" &amp; ROW(J20))
"),123.0)</f>
        <v>123</v>
      </c>
      <c r="K82" s="43"/>
      <c r="L82" s="58">
        <f>IFERROR(__xludf.DUMMYFUNCTION("IMPORTRANGE(""https://docs.google.com/spreadsheets/d/1bozxp9FwhaCNzy-RRGPVPfVYTttO4PUGDdaFvbz-Ue0/edit?gid=1870218791#gid=1870218791"", ""Rev vs Mktg &amp; Mktg Mix!L"" &amp; ROW(N20))
"),123.92852592959991)</f>
        <v>123.9285259</v>
      </c>
      <c r="M82" s="43"/>
      <c r="N82" s="57">
        <f>IFERROR(__xludf.DUMMYFUNCTION("IMPORTRANGE(""https://docs.google.com/spreadsheets/d/1bozxp9FwhaCNzy-RRGPVPfVYTttO4PUGDdaFvbz-Ue0/edit?gid=1870218791#gid=1870218791"", ""Rev vs Mktg &amp; Mktg Mix!N"" &amp; ROW(N20))
"),2.055)</f>
        <v>2.055</v>
      </c>
      <c r="O82" s="47">
        <f>VLOOKUP(VALUE(LEFT(A84, 4)), 'Raw Annual Revenue'!A:O, 15, FALSE) / 4
</f>
        <v>39747.75</v>
      </c>
      <c r="P82" s="43"/>
      <c r="Q82" s="43"/>
      <c r="R82" s="46"/>
      <c r="S82" s="46">
        <f>VLOOKUP(VALUE(LEFT(A82, 4)), 'Raw Annual Revenue'!A:S, 19, FALSE) / 4</f>
        <v>68920.5</v>
      </c>
      <c r="T82" s="45">
        <f>VLOOKUP(VALUE(LEFT(A85, 4)), 'Raw Annual Revenue'!A:T, 20, FALSE) / 4</f>
        <v>4927.5</v>
      </c>
      <c r="U82" s="43"/>
      <c r="V82" s="43"/>
      <c r="W82" s="43"/>
      <c r="X82" s="45">
        <f>VLOOKUP(VALUE(LEFT($A84, 4)), 'Raw Annual Revenue'!$A:X, 24, FALSE) / 4
</f>
        <v>509196.75</v>
      </c>
      <c r="Y82" s="46">
        <f>VLOOKUP(VALUE(LEFT(A82, 4)), 'Raw Annual Revenue'!A:Y, 25, FALSE) / 4</f>
        <v>48698.38965</v>
      </c>
      <c r="Z82" s="46">
        <f>VLOOKUP(VALUE(LEFT($A82, 4)), 'Raw Annual Revenue'!$A:Z, 26, FALSE) / 4</f>
        <v>9266.25</v>
      </c>
      <c r="AA82" s="46">
        <f>VLOOKUP(VALUE(LEFT($A82, 4)), 'Raw Annual Revenue'!$A:AA, 27, FALSE) / 4</f>
        <v>82239.5</v>
      </c>
      <c r="AB82" s="46"/>
      <c r="AC82" s="46">
        <f>VLOOKUP(VALUE(LEFT($A82, 4)), 'Raw Annual Revenue'!$A:AC, 29, FALSE) / 4</f>
        <v>16580.67625</v>
      </c>
      <c r="AD82" s="43"/>
    </row>
    <row r="83">
      <c r="A83" s="42" t="s">
        <v>110</v>
      </c>
      <c r="B83" s="50">
        <f>VLOOKUP(VALUE(LEFT(A83, 4)), 'Raw Annual Revenue'!A:B, 2, FALSE) / 4
</f>
        <v>640430.25</v>
      </c>
      <c r="C83" s="54">
        <f>IFERROR(__xludf.DUMMYFUNCTION("IMPORTRANGE(""https://docs.google.com/spreadsheets/d/1bozxp9FwhaCNzy-RRGPVPfVYTttO4PUGDdaFvbz-Ue0/edit?gid=1870218791#gid=1870218791"", ""Rev vs Mktg &amp; Mktg Mix!C"" &amp; ROW(B21))
"),2419.404)</f>
        <v>2419.404</v>
      </c>
      <c r="D83" s="54">
        <f>IFERROR(__xludf.DUMMYFUNCTION("IMPORTRANGE(""https://docs.google.com/spreadsheets/d/1bozxp9FwhaCNzy-RRGPVPfVYTttO4PUGDdaFvbz-Ue0/edit?gid=1870218791#gid=1870218791"", ""Rev vs Mktg &amp; Mktg Mix!D"" &amp; ROW(C21))
"),2189.0)</f>
        <v>2189</v>
      </c>
      <c r="E83" s="54">
        <f>IFERROR(__xludf.DUMMYFUNCTION("IMPORTRANGE(""https://docs.google.com/spreadsheets/d/1bozxp9FwhaCNzy-RRGPVPfVYTttO4PUGDdaFvbz-Ue0/edit?gid=1870218791#gid=1870218791"", ""Rev vs Mktg &amp; Mktg Mix!E"" &amp; ROW(E21))
"),891.0)</f>
        <v>891</v>
      </c>
      <c r="F83" s="54">
        <f>IFERROR(__xludf.DUMMYFUNCTION("IMPORTRANGE(""https://docs.google.com/spreadsheets/d/1bozxp9FwhaCNzy-RRGPVPfVYTttO4PUGDdaFvbz-Ue0/edit?gid=1870218791#gid=1870218791"", ""Rev vs Mktg &amp; Mktg Mix!F"" &amp; ROW(G21))
"),372.0)</f>
        <v>372</v>
      </c>
      <c r="G83" s="54">
        <f>IFERROR(__xludf.DUMMYFUNCTION("IMPORTRANGE(""https://docs.google.com/spreadsheets/d/1bozxp9FwhaCNzy-RRGPVPfVYTttO4PUGDdaFvbz-Ue0/edit?gid=1870218791#gid=1870218791"", ""Rev vs Mktg &amp; Mktg Mix!G"" &amp; ROW(I21))
"),267.644)</f>
        <v>267.644</v>
      </c>
      <c r="H83" s="46">
        <f>VLOOKUP(VALUE(LEFT(A86, 4)), 'Raw Annual Revenue'!A:H, 8, FALSE) / 4</f>
        <v>130046.25</v>
      </c>
      <c r="I83" s="58">
        <f>IFERROR(__xludf.DUMMYFUNCTION("IMPORTRANGE(""https://docs.google.com/spreadsheets/d/1bozxp9FwhaCNzy-RRGPVPfVYTttO4PUGDdaFvbz-Ue0/edit?gid=1870218791#gid=1870218791"", ""Rev vs Mktg &amp; Mktg Mix!I"" &amp; ROW(K21))
"),124.999)</f>
        <v>124.999</v>
      </c>
      <c r="J83" s="58">
        <f>IFERROR(__xludf.DUMMYFUNCTION("IMPORTRANGE(""https://docs.google.com/spreadsheets/d/1bozxp9FwhaCNzy-RRGPVPfVYTttO4PUGDdaFvbz-Ue0/edit?gid=1870218791#gid=1870218791"", ""Rev vs Mktg &amp; Mktg Mix!J"" &amp; ROW(J21))
"),120.033)</f>
        <v>120.033</v>
      </c>
      <c r="K83" s="43"/>
      <c r="L83" s="58">
        <f>IFERROR(__xludf.DUMMYFUNCTION("IMPORTRANGE(""https://docs.google.com/spreadsheets/d/1bozxp9FwhaCNzy-RRGPVPfVYTttO4PUGDdaFvbz-Ue0/edit?gid=1870218791#gid=1870218791"", ""Rev vs Mktg &amp; Mktg Mix!L"" &amp; ROW(N21))
"),124.4476681476)</f>
        <v>124.4476681</v>
      </c>
      <c r="M83" s="43"/>
      <c r="N83" s="57">
        <f>IFERROR(__xludf.DUMMYFUNCTION("IMPORTRANGE(""https://docs.google.com/spreadsheets/d/1bozxp9FwhaCNzy-RRGPVPfVYTttO4PUGDdaFvbz-Ue0/edit?gid=1870218791#gid=1870218791"", ""Rev vs Mktg &amp; Mktg Mix!N"" &amp; ROW(N21))
"),2.656)</f>
        <v>2.656</v>
      </c>
      <c r="O83" s="47">
        <f>VLOOKUP(VALUE(LEFT(A85, 4)), 'Raw Annual Revenue'!A:O, 15, FALSE) / 4
</f>
        <v>39747.75</v>
      </c>
      <c r="P83" s="43"/>
      <c r="Q83" s="43"/>
      <c r="R83" s="46"/>
      <c r="S83" s="46">
        <f>VLOOKUP(VALUE(LEFT(A83, 4)), 'Raw Annual Revenue'!A:S, 19, FALSE) / 4</f>
        <v>77603.75</v>
      </c>
      <c r="T83" s="45">
        <f>VLOOKUP(VALUE(LEFT(A86, 4)), 'Raw Annual Revenue'!A:T, 20, FALSE) / 4</f>
        <v>4927.5</v>
      </c>
      <c r="U83" s="43"/>
      <c r="V83" s="43"/>
      <c r="W83" s="43"/>
      <c r="X83" s="45">
        <f>VLOOKUP(VALUE(LEFT($A85, 4)), 'Raw Annual Revenue'!$A:X, 24, FALSE) / 4
</f>
        <v>509196.75</v>
      </c>
      <c r="Y83" s="46">
        <f>VLOOKUP(VALUE(LEFT(A83, 4)), 'Raw Annual Revenue'!A:Y, 25, FALSE) / 4</f>
        <v>72355.09586</v>
      </c>
      <c r="Z83" s="46">
        <f>VLOOKUP(VALUE(LEFT($A83, 4)), 'Raw Annual Revenue'!$A:Z, 26, FALSE) / 4</f>
        <v>12384</v>
      </c>
      <c r="AA83" s="46">
        <f>VLOOKUP(VALUE(LEFT($A83, 4)), 'Raw Annual Revenue'!$A:AA, 27, FALSE) / 4</f>
        <v>215295</v>
      </c>
      <c r="AB83" s="46">
        <f>VLOOKUP(VALUE(LEFT($A83, 4)), 'Raw Annual Revenue'!$A:AB, 28, FALSE) / 4</f>
        <v>12071.5</v>
      </c>
      <c r="AC83" s="46">
        <f>VLOOKUP(VALUE(LEFT($A83, 4)), 'Raw Annual Revenue'!$A:AC, 29, FALSE) / 4</f>
        <v>26326.25</v>
      </c>
      <c r="AD83" s="43"/>
    </row>
    <row r="84">
      <c r="A84" s="42" t="s">
        <v>111</v>
      </c>
      <c r="B84" s="50">
        <f>VLOOKUP(VALUE(LEFT(A84, 4)), 'Raw Annual Revenue'!A:B, 2, FALSE) / 4
</f>
        <v>640430.25</v>
      </c>
      <c r="C84" s="54">
        <f>IFERROR(__xludf.DUMMYFUNCTION("IMPORTRANGE(""https://docs.google.com/spreadsheets/d/1bozxp9FwhaCNzy-RRGPVPfVYTttO4PUGDdaFvbz-Ue0/edit?gid=1870218791#gid=1870218791"", ""Rev vs Mktg &amp; Mktg Mix!C"" &amp; ROW(B22))
"),3024.556)</f>
        <v>3024.556</v>
      </c>
      <c r="D84" s="54">
        <f>IFERROR(__xludf.DUMMYFUNCTION("IMPORTRANGE(""https://docs.google.com/spreadsheets/d/1bozxp9FwhaCNzy-RRGPVPfVYTttO4PUGDdaFvbz-Ue0/edit?gid=1870218791#gid=1870218791"", ""Rev vs Mktg &amp; Mktg Mix!D"" &amp; ROW(C22))
"),2586.0)</f>
        <v>2586</v>
      </c>
      <c r="E84" s="54">
        <f>IFERROR(__xludf.DUMMYFUNCTION("IMPORTRANGE(""https://docs.google.com/spreadsheets/d/1bozxp9FwhaCNzy-RRGPVPfVYTttO4PUGDdaFvbz-Ue0/edit?gid=1870218791#gid=1870218791"", ""Rev vs Mktg &amp; Mktg Mix!E"" &amp; ROW(E22))
"),953.0)</f>
        <v>953</v>
      </c>
      <c r="F84" s="54">
        <f>IFERROR(__xludf.DUMMYFUNCTION("IMPORTRANGE(""https://docs.google.com/spreadsheets/d/1bozxp9FwhaCNzy-RRGPVPfVYTttO4PUGDdaFvbz-Ue0/edit?gid=1870218791#gid=1870218791"", ""Rev vs Mktg &amp; Mktg Mix!F"" &amp; ROW(G22))
"),424.0)</f>
        <v>424</v>
      </c>
      <c r="G84" s="54">
        <f>IFERROR(__xludf.DUMMYFUNCTION("IMPORTRANGE(""https://docs.google.com/spreadsheets/d/1bozxp9FwhaCNzy-RRGPVPfVYTttO4PUGDdaFvbz-Ue0/edit?gid=1870218791#gid=1870218791"", ""Rev vs Mktg &amp; Mktg Mix!G"" &amp; ROW(I22))
"),298.336)</f>
        <v>298.336</v>
      </c>
      <c r="H84" s="51">
        <f>IFERROR(__xludf.DUMMYFUNCTION("IMPORTRANGE(""https://docs.google.com/spreadsheets/d/1bozxp9FwhaCNzy-RRGPVPfVYTttO4PUGDdaFvbz-Ue0/edit?gid=1870218791#gid=1870218791"", ""Rev vs Mktg &amp; Mktg Mix!H"" &amp; ROW(H22))
"),148.06)</f>
        <v>148.06</v>
      </c>
      <c r="I84" s="58">
        <f>IFERROR(__xludf.DUMMYFUNCTION("IMPORTRANGE(""https://docs.google.com/spreadsheets/d/1bozxp9FwhaCNzy-RRGPVPfVYTttO4PUGDdaFvbz-Ue0/edit?gid=1870218791#gid=1870218791"", ""Rev vs Mktg &amp; Mktg Mix!I"" &amp; ROW(K22))
"),123.403)</f>
        <v>123.403</v>
      </c>
      <c r="J84" s="58">
        <f>IFERROR(__xludf.DUMMYFUNCTION("IMPORTRANGE(""https://docs.google.com/spreadsheets/d/1bozxp9FwhaCNzy-RRGPVPfVYTttO4PUGDdaFvbz-Ue0/edit?gid=1870218791#gid=1870218791"", ""Rev vs Mktg &amp; Mktg Mix!J"" &amp; ROW(J22))
"),192.056)</f>
        <v>192.056</v>
      </c>
      <c r="K84" s="43"/>
      <c r="L84" s="58">
        <f>IFERROR(__xludf.DUMMYFUNCTION("IMPORTRANGE(""https://docs.google.com/spreadsheets/d/1bozxp9FwhaCNzy-RRGPVPfVYTttO4PUGDdaFvbz-Ue0/edit?gid=1870218791#gid=1870218791"", ""Rev vs Mktg &amp; Mktg Mix!L"" &amp; ROW(N22))
"),152.9547692232)</f>
        <v>152.9547692</v>
      </c>
      <c r="M84" s="43"/>
      <c r="N84" s="57">
        <f>IFERROR(__xludf.DUMMYFUNCTION("IMPORTRANGE(""https://docs.google.com/spreadsheets/d/1bozxp9FwhaCNzy-RRGPVPfVYTttO4PUGDdaFvbz-Ue0/edit?gid=1870218791#gid=1870218791"", ""Rev vs Mktg &amp; Mktg Mix!N"" &amp; ROW(N22))
"),3.011)</f>
        <v>3.011</v>
      </c>
      <c r="O84" s="47">
        <f>VLOOKUP(VALUE(LEFT(A86, 4)), 'Raw Annual Revenue'!A:O, 15, FALSE) / 4
</f>
        <v>39747.75</v>
      </c>
      <c r="P84" s="43"/>
      <c r="Q84" s="57"/>
      <c r="R84" s="46"/>
      <c r="S84" s="46">
        <f>VLOOKUP(VALUE(LEFT(A84, 4)), 'Raw Annual Revenue'!A:S, 19, FALSE) / 4</f>
        <v>77603.75</v>
      </c>
      <c r="T84" s="45">
        <f>VLOOKUP(VALUE(LEFT(A87, 4)), 'Raw Annual Revenue'!A:T, 20, FALSE) / 4</f>
        <v>9678.25</v>
      </c>
      <c r="U84" s="43"/>
      <c r="V84" s="43"/>
      <c r="W84" s="43"/>
      <c r="X84" s="45">
        <f>VLOOKUP(VALUE(LEFT($A86, 4)), 'Raw Annual Revenue'!$A:X, 24, FALSE) / 4
</f>
        <v>509196.75</v>
      </c>
      <c r="Y84" s="46">
        <f>VLOOKUP(VALUE(LEFT(A84, 4)), 'Raw Annual Revenue'!A:Y, 25, FALSE) / 4</f>
        <v>72355.09586</v>
      </c>
      <c r="Z84" s="46">
        <f>VLOOKUP(VALUE(LEFT($A84, 4)), 'Raw Annual Revenue'!$A:Z, 26, FALSE) / 4</f>
        <v>12384</v>
      </c>
      <c r="AA84" s="46">
        <f>VLOOKUP(VALUE(LEFT($A84, 4)), 'Raw Annual Revenue'!$A:AA, 27, FALSE) / 4</f>
        <v>215295</v>
      </c>
      <c r="AB84" s="46">
        <f>VLOOKUP(VALUE(LEFT($A84, 4)), 'Raw Annual Revenue'!$A:AB, 28, FALSE) / 4</f>
        <v>12071.5</v>
      </c>
      <c r="AC84" s="46">
        <f>VLOOKUP(VALUE(LEFT($A84, 4)), 'Raw Annual Revenue'!$A:AC, 29, FALSE) / 4</f>
        <v>26326.25</v>
      </c>
      <c r="AD84" s="43"/>
    </row>
    <row r="85">
      <c r="A85" s="42" t="s">
        <v>112</v>
      </c>
      <c r="B85" s="50">
        <f>VLOOKUP(VALUE(LEFT(A85, 4)), 'Raw Annual Revenue'!A:B, 2, FALSE) / 4
</f>
        <v>640430.25</v>
      </c>
      <c r="C85" s="54">
        <f>IFERROR(__xludf.DUMMYFUNCTION("IMPORTRANGE(""https://docs.google.com/spreadsheets/d/1bozxp9FwhaCNzy-RRGPVPfVYTttO4PUGDdaFvbz-Ue0/edit?gid=1870218791#gid=1870218791"", ""Rev vs Mktg &amp; Mktg Mix!C"" &amp; ROW(B23))
"),4434.029)</f>
        <v>4434.029</v>
      </c>
      <c r="D85" s="54">
        <f>IFERROR(__xludf.DUMMYFUNCTION("IMPORTRANGE(""https://docs.google.com/spreadsheets/d/1bozxp9FwhaCNzy-RRGPVPfVYTttO4PUGDdaFvbz-Ue0/edit?gid=1870218791#gid=1870218791"", ""Rev vs Mktg &amp; Mktg Mix!D"" &amp; ROW(C23))
"),2966.0)</f>
        <v>2966</v>
      </c>
      <c r="E85" s="54">
        <f>IFERROR(__xludf.DUMMYFUNCTION("IMPORTRANGE(""https://docs.google.com/spreadsheets/d/1bozxp9FwhaCNzy-RRGPVPfVYTttO4PUGDdaFvbz-Ue0/edit?gid=1870218791#gid=1870218791"", ""Rev vs Mktg &amp; Mktg Mix!E"" &amp; ROW(E23))
"),1196.0)</f>
        <v>1196</v>
      </c>
      <c r="F85" s="54">
        <f>IFERROR(__xludf.DUMMYFUNCTION("IMPORTRANGE(""https://docs.google.com/spreadsheets/d/1bozxp9FwhaCNzy-RRGPVPfVYTttO4PUGDdaFvbz-Ue0/edit?gid=1870218791#gid=1870218791"", ""Rev vs Mktg &amp; Mktg Mix!F"" &amp; ROW(G23))
"),439.0)</f>
        <v>439</v>
      </c>
      <c r="G85" s="54">
        <f>IFERROR(__xludf.DUMMYFUNCTION("IMPORTRANGE(""https://docs.google.com/spreadsheets/d/1bozxp9FwhaCNzy-RRGPVPfVYTttO4PUGDdaFvbz-Ue0/edit?gid=1870218791#gid=1870218791"", ""Rev vs Mktg &amp; Mktg Mix!G"" &amp; ROW(I23))
"),287.86)</f>
        <v>287.86</v>
      </c>
      <c r="H85" s="58">
        <f>IFERROR(__xludf.DUMMYFUNCTION("IMPORTRANGE(""https://docs.google.com/spreadsheets/d/1bozxp9FwhaCNzy-RRGPVPfVYTttO4PUGDdaFvbz-Ue0/edit?gid=1870218791#gid=1870218791"", ""Rev vs Mktg &amp; Mktg Mix!H"" &amp; ROW(H23))
"),142.12)</f>
        <v>142.12</v>
      </c>
      <c r="I85" s="58">
        <f>IFERROR(__xludf.DUMMYFUNCTION("IMPORTRANGE(""https://docs.google.com/spreadsheets/d/1bozxp9FwhaCNzy-RRGPVPfVYTttO4PUGDdaFvbz-Ue0/edit?gid=1870218791#gid=1870218791"", ""Rev vs Mktg &amp; Mktg Mix!I"" &amp; ROW(K23))
"),131.468)</f>
        <v>131.468</v>
      </c>
      <c r="J85" s="58">
        <f>IFERROR(__xludf.DUMMYFUNCTION("IMPORTRANGE(""https://docs.google.com/spreadsheets/d/1bozxp9FwhaCNzy-RRGPVPfVYTttO4PUGDdaFvbz-Ue0/edit?gid=1870218791#gid=1870218791"", ""Rev vs Mktg &amp; Mktg Mix!J"" &amp; ROW(J23))
"),152.917)</f>
        <v>152.917</v>
      </c>
      <c r="K85" s="43"/>
      <c r="L85" s="58">
        <f>IFERROR(__xludf.DUMMYFUNCTION("IMPORTRANGE(""https://docs.google.com/spreadsheets/d/1bozxp9FwhaCNzy-RRGPVPfVYTttO4PUGDdaFvbz-Ue0/edit?gid=1870218791#gid=1870218791"", ""Rev vs Mktg &amp; Mktg Mix!L"" &amp; ROW(N23))
"),130.421956707)</f>
        <v>130.4219567</v>
      </c>
      <c r="M85" s="43"/>
      <c r="N85" s="57">
        <f>IFERROR(__xludf.DUMMYFUNCTION("IMPORTRANGE(""https://docs.google.com/spreadsheets/d/1bozxp9FwhaCNzy-RRGPVPfVYTttO4PUGDdaFvbz-Ue0/edit?gid=1870218791#gid=1870218791"", ""Rev vs Mktg &amp; Mktg Mix!N"" &amp; ROW(N23))
"),3.249)</f>
        <v>3.249</v>
      </c>
      <c r="O85" s="47">
        <f>VLOOKUP(VALUE(LEFT(A87, 4)), 'Raw Annual Revenue'!A:O, 15, FALSE) / 4
</f>
        <v>140685</v>
      </c>
      <c r="P85" s="43"/>
      <c r="Q85" s="57"/>
      <c r="R85" s="46"/>
      <c r="S85" s="46">
        <f>VLOOKUP(VALUE(LEFT(A85, 4)), 'Raw Annual Revenue'!A:S, 19, FALSE) / 4</f>
        <v>77603.75</v>
      </c>
      <c r="T85" s="45">
        <f>VLOOKUP(VALUE(LEFT(A88, 4)), 'Raw Annual Revenue'!A:T, 20, FALSE) / 4</f>
        <v>9678.25</v>
      </c>
      <c r="U85" s="43"/>
      <c r="V85" s="43"/>
      <c r="W85" s="43"/>
      <c r="X85" s="45">
        <f>VLOOKUP(VALUE(LEFT($A87, 4)), 'Raw Annual Revenue'!$A:X, 24, FALSE) / 4
</f>
        <v>540590</v>
      </c>
      <c r="Y85" s="46">
        <f>VLOOKUP(VALUE(LEFT(A85, 4)), 'Raw Annual Revenue'!A:Y, 25, FALSE) / 4</f>
        <v>72355.09586</v>
      </c>
      <c r="Z85" s="46">
        <f>VLOOKUP(VALUE(LEFT($A85, 4)), 'Raw Annual Revenue'!$A:Z, 26, FALSE) / 4</f>
        <v>12384</v>
      </c>
      <c r="AA85" s="46">
        <f>VLOOKUP(VALUE(LEFT($A85, 4)), 'Raw Annual Revenue'!$A:AA, 27, FALSE) / 4</f>
        <v>215295</v>
      </c>
      <c r="AB85" s="46">
        <f>VLOOKUP(VALUE(LEFT($A85, 4)), 'Raw Annual Revenue'!$A:AB, 28, FALSE) / 4</f>
        <v>12071.5</v>
      </c>
      <c r="AC85" s="46">
        <f>VLOOKUP(VALUE(LEFT($A85, 4)), 'Raw Annual Revenue'!$A:AC, 29, FALSE) / 4</f>
        <v>26326.25</v>
      </c>
      <c r="AD85" s="43"/>
    </row>
    <row r="86">
      <c r="A86" s="42" t="s">
        <v>113</v>
      </c>
      <c r="B86" s="50">
        <f>VLOOKUP(VALUE(LEFT(A86, 4)), 'Raw Annual Revenue'!A:B, 2, FALSE) / 4
</f>
        <v>640430.25</v>
      </c>
      <c r="C86" s="54">
        <f>IFERROR(__xludf.DUMMYFUNCTION("IMPORTRANGE(""https://docs.google.com/spreadsheets/d/1bozxp9FwhaCNzy-RRGPVPfVYTttO4PUGDdaFvbz-Ue0/edit?gid=1870218791#gid=1870218791"", ""Rev vs Mktg &amp; Mktg Mix!C"" &amp; ROW(B24))
"),2803.0)</f>
        <v>2803</v>
      </c>
      <c r="D86" s="54">
        <f>IFERROR(__xludf.DUMMYFUNCTION("IMPORTRANGE(""https://docs.google.com/spreadsheets/d/1bozxp9FwhaCNzy-RRGPVPfVYTttO4PUGDdaFvbz-Ue0/edit?gid=1870218791#gid=1870218791"", ""Rev vs Mktg &amp; Mktg Mix!D"" &amp; ROW(C24))
"),2319.0)</f>
        <v>2319</v>
      </c>
      <c r="E86" s="54">
        <f>IFERROR(__xludf.DUMMYFUNCTION("IMPORTRANGE(""https://docs.google.com/spreadsheets/d/1bozxp9FwhaCNzy-RRGPVPfVYTttO4PUGDdaFvbz-Ue0/edit?gid=1870218791#gid=1870218791"", ""Rev vs Mktg &amp; Mktg Mix!E"" &amp; ROW(E24))
"),988.0)</f>
        <v>988</v>
      </c>
      <c r="F86" s="54">
        <f>IFERROR(__xludf.DUMMYFUNCTION("IMPORTRANGE(""https://docs.google.com/spreadsheets/d/1bozxp9FwhaCNzy-RRGPVPfVYTttO4PUGDdaFvbz-Ue0/edit?gid=1870218791#gid=1870218791"", ""Rev vs Mktg &amp; Mktg Mix!F"" &amp; ROW(G24))
"),321.0)</f>
        <v>321</v>
      </c>
      <c r="G86" s="54">
        <f>IFERROR(__xludf.DUMMYFUNCTION("IMPORTRANGE(""https://docs.google.com/spreadsheets/d/1bozxp9FwhaCNzy-RRGPVPfVYTttO4PUGDdaFvbz-Ue0/edit?gid=1870218791#gid=1870218791"", ""Rev vs Mktg &amp; Mktg Mix!G"" &amp; ROW(I24))
"),181.543)</f>
        <v>181.543</v>
      </c>
      <c r="H86" s="58">
        <f>IFERROR(__xludf.DUMMYFUNCTION("IMPORTRANGE(""https://docs.google.com/spreadsheets/d/1bozxp9FwhaCNzy-RRGPVPfVYTttO4PUGDdaFvbz-Ue0/edit?gid=1870218791#gid=1870218791"", ""Rev vs Mktg &amp; Mktg Mix!H"" &amp; ROW(H24))
"),125.29000000000002)</f>
        <v>125.29</v>
      </c>
      <c r="I86" s="58">
        <f>IFERROR(__xludf.DUMMYFUNCTION("IMPORTRANGE(""https://docs.google.com/spreadsheets/d/1bozxp9FwhaCNzy-RRGPVPfVYTttO4PUGDdaFvbz-Ue0/edit?gid=1870218791#gid=1870218791"", ""Rev vs Mktg &amp; Mktg Mix!I"" &amp; ROW(K24))
"),144.011)</f>
        <v>144.011</v>
      </c>
      <c r="J86" s="58">
        <f>IFERROR(__xludf.DUMMYFUNCTION("IMPORTRANGE(""https://docs.google.com/spreadsheets/d/1bozxp9FwhaCNzy-RRGPVPfVYTttO4PUGDdaFvbz-Ue0/edit?gid=1870218791#gid=1870218791"", ""Rev vs Mktg &amp; Mktg Mix!J"" &amp; ROW(J24))
"),172.477)</f>
        <v>172.477</v>
      </c>
      <c r="K86" s="43"/>
      <c r="L86" s="58">
        <f>IFERROR(__xludf.DUMMYFUNCTION("IMPORTRANGE(""https://docs.google.com/spreadsheets/d/1bozxp9FwhaCNzy-RRGPVPfVYTttO4PUGDdaFvbz-Ue0/edit?gid=1870218791#gid=1870218791"", ""Rev vs Mktg &amp; Mktg Mix!L"" &amp; ROW(N24))
"),154.11739319970002)</f>
        <v>154.1173932</v>
      </c>
      <c r="M86" s="43"/>
      <c r="N86" s="57">
        <f>IFERROR(__xludf.DUMMYFUNCTION("IMPORTRANGE(""https://docs.google.com/spreadsheets/d/1bozxp9FwhaCNzy-RRGPVPfVYTttO4PUGDdaFvbz-Ue0/edit?gid=1870218791#gid=1870218791"", ""Rev vs Mktg &amp; Mktg Mix!N"" &amp; ROW(N24))
"),2.923)</f>
        <v>2.923</v>
      </c>
      <c r="O86" s="47">
        <f>VLOOKUP(VALUE(LEFT(A88, 4)), 'Raw Annual Revenue'!A:O, 15, FALSE) / 4
</f>
        <v>140685</v>
      </c>
      <c r="P86" s="43"/>
      <c r="Q86" s="57"/>
      <c r="R86" s="46"/>
      <c r="S86" s="46">
        <f>VLOOKUP(VALUE(LEFT(A86, 4)), 'Raw Annual Revenue'!A:S, 19, FALSE) / 4</f>
        <v>77603.75</v>
      </c>
      <c r="T86" s="45">
        <f>VLOOKUP(VALUE(LEFT(A89, 4)), 'Raw Annual Revenue'!A:T, 20, FALSE) / 4</f>
        <v>9678.25</v>
      </c>
      <c r="U86" s="43"/>
      <c r="V86" s="43"/>
      <c r="W86" s="43"/>
      <c r="X86" s="45">
        <f>VLOOKUP(VALUE(LEFT($A88, 4)), 'Raw Annual Revenue'!$A:X, 24, FALSE) / 4
</f>
        <v>540590</v>
      </c>
      <c r="Y86" s="46">
        <f>VLOOKUP(VALUE(LEFT(A86, 4)), 'Raw Annual Revenue'!A:Y, 25, FALSE) / 4</f>
        <v>72355.09586</v>
      </c>
      <c r="Z86" s="46">
        <f>VLOOKUP(VALUE(LEFT($A86, 4)), 'Raw Annual Revenue'!$A:Z, 26, FALSE) / 4</f>
        <v>12384</v>
      </c>
      <c r="AA86" s="46">
        <f>VLOOKUP(VALUE(LEFT($A86, 4)), 'Raw Annual Revenue'!$A:AA, 27, FALSE) / 4</f>
        <v>215295</v>
      </c>
      <c r="AB86" s="46">
        <f>VLOOKUP(VALUE(LEFT($A86, 4)), 'Raw Annual Revenue'!$A:AB, 28, FALSE) / 4</f>
        <v>12071.5</v>
      </c>
      <c r="AC86" s="46">
        <f>VLOOKUP(VALUE(LEFT($A86, 4)), 'Raw Annual Revenue'!$A:AC, 29, FALSE) / 4</f>
        <v>26326.25</v>
      </c>
      <c r="AD86" s="43"/>
    </row>
    <row r="87">
      <c r="A87" s="42" t="s">
        <v>114</v>
      </c>
      <c r="B87" s="50">
        <f>VLOOKUP(VALUE(LEFT(A87, 4)), 'Raw Annual Revenue'!A:B, 2, FALSE) / 4
</f>
        <v>912996.25</v>
      </c>
      <c r="C87" s="54">
        <f>IFERROR(__xludf.DUMMYFUNCTION("IMPORTRANGE(""https://docs.google.com/spreadsheets/d/1bozxp9FwhaCNzy-RRGPVPfVYTttO4PUGDdaFvbz-Ue0/edit?gid=1870218791#gid=1870218791"", ""Rev vs Mktg &amp; Mktg Mix!C"" &amp; ROW(B25))
"),2928.201)</f>
        <v>2928.201</v>
      </c>
      <c r="D87" s="54">
        <f>IFERROR(__xludf.DUMMYFUNCTION("IMPORTRANGE(""https://docs.google.com/spreadsheets/d/1bozxp9FwhaCNzy-RRGPVPfVYTttO4PUGDdaFvbz-Ue0/edit?gid=1870218791#gid=1870218791"", ""Rev vs Mktg &amp; Mktg Mix!D"" &amp; ROW(C25))
"),2508.0)</f>
        <v>2508</v>
      </c>
      <c r="E87" s="54">
        <f>IFERROR(__xludf.DUMMYFUNCTION("IMPORTRANGE(""https://docs.google.com/spreadsheets/d/1bozxp9FwhaCNzy-RRGPVPfVYTttO4PUGDdaFvbz-Ue0/edit?gid=1870218791#gid=1870218791"", ""Rev vs Mktg &amp; Mktg Mix!E"" &amp; ROW(E25))
"),1079.0)</f>
        <v>1079</v>
      </c>
      <c r="F87" s="54">
        <f>IFERROR(__xludf.DUMMYFUNCTION("IMPORTRANGE(""https://docs.google.com/spreadsheets/d/1bozxp9FwhaCNzy-RRGPVPfVYTttO4PUGDdaFvbz-Ue0/edit?gid=1870218791#gid=1870218791"", ""Rev vs Mktg &amp; Mktg Mix!F"" &amp; ROW(G25))
"),378.0)</f>
        <v>378</v>
      </c>
      <c r="G87" s="54">
        <f>IFERROR(__xludf.DUMMYFUNCTION("IMPORTRANGE(""https://docs.google.com/spreadsheets/d/1bozxp9FwhaCNzy-RRGPVPfVYTttO4PUGDdaFvbz-Ue0/edit?gid=1870218791#gid=1870218791"", ""Rev vs Mktg &amp; Mktg Mix!G"" &amp; ROW(I25))
"),259.364)</f>
        <v>259.364</v>
      </c>
      <c r="H87" s="58">
        <f>IFERROR(__xludf.DUMMYFUNCTION("IMPORTRANGE(""https://docs.google.com/spreadsheets/d/1bozxp9FwhaCNzy-RRGPVPfVYTttO4PUGDdaFvbz-Ue0/edit?gid=1870218791#gid=1870218791"", ""Rev vs Mktg &amp; Mktg Mix!H"" &amp; ROW(H25))
"),154.22)</f>
        <v>154.22</v>
      </c>
      <c r="I87" s="58">
        <f>IFERROR(__xludf.DUMMYFUNCTION("IMPORTRANGE(""https://docs.google.com/spreadsheets/d/1bozxp9FwhaCNzy-RRGPVPfVYTttO4PUGDdaFvbz-Ue0/edit?gid=1870218791#gid=1870218791"", ""Rev vs Mktg &amp; Mktg Mix!I"" &amp; ROW(K25))
"),148.593)</f>
        <v>148.593</v>
      </c>
      <c r="J87" s="58">
        <f>IFERROR(__xludf.DUMMYFUNCTION("IMPORTRANGE(""https://docs.google.com/spreadsheets/d/1bozxp9FwhaCNzy-RRGPVPfVYTttO4PUGDdaFvbz-Ue0/edit?gid=1870218791#gid=1870218791"", ""Rev vs Mktg &amp; Mktg Mix!J"" &amp; ROW(J25))
"),157.806)</f>
        <v>157.806</v>
      </c>
      <c r="K87" s="43"/>
      <c r="L87" s="58">
        <f>IFERROR(__xludf.DUMMYFUNCTION("IMPORTRANGE(""https://docs.google.com/spreadsheets/d/1bozxp9FwhaCNzy-RRGPVPfVYTttO4PUGDdaFvbz-Ue0/edit?gid=1870218791#gid=1870218791"", ""Rev vs Mktg &amp; Mktg Mix!L"" &amp; ROW(N25))
"),128.4709752648)</f>
        <v>128.4709753</v>
      </c>
      <c r="M87" s="43"/>
      <c r="N87" s="57">
        <f>IFERROR(__xludf.DUMMYFUNCTION("IMPORTRANGE(""https://docs.google.com/spreadsheets/d/1bozxp9FwhaCNzy-RRGPVPfVYTttO4PUGDdaFvbz-Ue0/edit?gid=1870218791#gid=1870218791"", ""Rev vs Mktg &amp; Mktg Mix!N"" &amp; ROW(N25))
"),4.022)</f>
        <v>4.022</v>
      </c>
      <c r="O87" s="47">
        <f>VLOOKUP(VALUE(LEFT(A89, 4)), 'Raw Annual Revenue'!A:O, 15, FALSE) / 4
</f>
        <v>140685</v>
      </c>
      <c r="P87" s="43"/>
      <c r="Q87" s="57"/>
      <c r="R87" s="46"/>
      <c r="S87" s="46">
        <f>VLOOKUP(VALUE(LEFT(A87, 4)), 'Raw Annual Revenue'!A:S, 19, FALSE) / 4</f>
        <v>83272.25</v>
      </c>
      <c r="T87" s="45">
        <f>VLOOKUP(VALUE(LEFT(A90, 4)), 'Raw Annual Revenue'!A:T, 20, FALSE) / 4</f>
        <v>9678.25</v>
      </c>
      <c r="U87" s="43"/>
      <c r="V87" s="43"/>
      <c r="W87" s="43"/>
      <c r="X87" s="45">
        <f>VLOOKUP(VALUE(LEFT($A89, 4)), 'Raw Annual Revenue'!$A:X, 24, FALSE) / 4
</f>
        <v>540590</v>
      </c>
      <c r="Y87" s="46">
        <f>VLOOKUP(VALUE(LEFT(A87, 4)), 'Raw Annual Revenue'!A:Y, 25, FALSE) / 4</f>
        <v>82990.80089</v>
      </c>
      <c r="Z87" s="46">
        <f>VLOOKUP(VALUE(LEFT($A87, 4)), 'Raw Annual Revenue'!$A:Z, 26, FALSE) / 4</f>
        <v>16488.25</v>
      </c>
      <c r="AA87" s="46">
        <f>VLOOKUP(VALUE(LEFT($A87, 4)), 'Raw Annual Revenue'!$A:AA, 27, FALSE) / 4</f>
        <v>308997.5</v>
      </c>
      <c r="AB87" s="46">
        <f>VLOOKUP(VALUE(LEFT($A87, 4)), 'Raw Annual Revenue'!$A:AB, 28, FALSE) / 4</f>
        <v>11662.5</v>
      </c>
      <c r="AC87" s="46">
        <f>VLOOKUP(VALUE(LEFT($A87, 4)), 'Raw Annual Revenue'!$A:AC, 29, FALSE) / 4</f>
        <v>46508.75</v>
      </c>
      <c r="AD87" s="43"/>
    </row>
    <row r="88">
      <c r="A88" s="42" t="s">
        <v>115</v>
      </c>
      <c r="B88" s="50">
        <f>VLOOKUP(VALUE(LEFT(A88, 4)), 'Raw Annual Revenue'!A:B, 2, FALSE) / 4
</f>
        <v>912996.25</v>
      </c>
      <c r="C88" s="54">
        <f>IFERROR(__xludf.DUMMYFUNCTION("IMPORTRANGE(""https://docs.google.com/spreadsheets/d/1bozxp9FwhaCNzy-RRGPVPfVYTttO4PUGDdaFvbz-Ue0/edit?gid=1870218791#gid=1870218791"", ""Rev vs Mktg &amp; Mktg Mix!C"" &amp; ROW(B26))
"),3537.094)</f>
        <v>3537.094</v>
      </c>
      <c r="D88" s="54">
        <f>IFERROR(__xludf.DUMMYFUNCTION("IMPORTRANGE(""https://docs.google.com/spreadsheets/d/1bozxp9FwhaCNzy-RRGPVPfVYTttO4PUGDdaFvbz-Ue0/edit?gid=1870218791#gid=1870218791"", ""Rev vs Mktg &amp; Mktg Mix!D"" &amp; ROW(C26))
"),2880.0)</f>
        <v>2880</v>
      </c>
      <c r="E88" s="54">
        <f>IFERROR(__xludf.DUMMYFUNCTION("IMPORTRANGE(""https://docs.google.com/spreadsheets/d/1bozxp9FwhaCNzy-RRGPVPfVYTttO4PUGDdaFvbz-Ue0/edit?gid=1870218791#gid=1870218791"", ""Rev vs Mktg &amp; Mktg Mix!E"" &amp; ROW(E26))
"),1112.0)</f>
        <v>1112</v>
      </c>
      <c r="F88" s="54">
        <f>IFERROR(__xludf.DUMMYFUNCTION("IMPORTRANGE(""https://docs.google.com/spreadsheets/d/1bozxp9FwhaCNzy-RRGPVPfVYTttO4PUGDdaFvbz-Ue0/edit?gid=1870218791#gid=1870218791"", ""Rev vs Mktg &amp; Mktg Mix!F"" &amp; ROW(G26))
"),433.0)</f>
        <v>433</v>
      </c>
      <c r="G88" s="54">
        <f>IFERROR(__xludf.DUMMYFUNCTION("IMPORTRANGE(""https://docs.google.com/spreadsheets/d/1bozxp9FwhaCNzy-RRGPVPfVYTttO4PUGDdaFvbz-Ue0/edit?gid=1870218791#gid=1870218791"", ""Rev vs Mktg &amp; Mktg Mix!G"" &amp; ROW(I26))
"),234.999)</f>
        <v>234.999</v>
      </c>
      <c r="H88" s="58">
        <f>IFERROR(__xludf.DUMMYFUNCTION("IMPORTRANGE(""https://docs.google.com/spreadsheets/d/1bozxp9FwhaCNzy-RRGPVPfVYTttO4PUGDdaFvbz-Ue0/edit?gid=1870218791#gid=1870218791"", ""Rev vs Mktg &amp; Mktg Mix!H"" &amp; ROW(H26))
"),148.06)</f>
        <v>148.06</v>
      </c>
      <c r="I88" s="58">
        <f>IFERROR(__xludf.DUMMYFUNCTION("IMPORTRANGE(""https://docs.google.com/spreadsheets/d/1bozxp9FwhaCNzy-RRGPVPfVYTttO4PUGDdaFvbz-Ue0/edit?gid=1870218791#gid=1870218791"", ""Rev vs Mktg &amp; Mktg Mix!I"" &amp; ROW(K26))
"),128.259)</f>
        <v>128.259</v>
      </c>
      <c r="J88" s="58">
        <f>IFERROR(__xludf.DUMMYFUNCTION("IMPORTRANGE(""https://docs.google.com/spreadsheets/d/1bozxp9FwhaCNzy-RRGPVPfVYTttO4PUGDdaFvbz-Ue0/edit?gid=1870218791#gid=1870218791"", ""Rev vs Mktg &amp; Mktg Mix!J"" &amp; ROW(J26))
"),137.41)</f>
        <v>137.41</v>
      </c>
      <c r="K88" s="43"/>
      <c r="L88" s="58">
        <f>IFERROR(__xludf.DUMMYFUNCTION("IMPORTRANGE(""https://docs.google.com/spreadsheets/d/1bozxp9FwhaCNzy-RRGPVPfVYTttO4PUGDdaFvbz-Ue0/edit?gid=1870218791#gid=1870218791"", ""Rev vs Mktg &amp; Mktg Mix!L"" &amp; ROW(N26))
"),141.59568764879998)</f>
        <v>141.5956876</v>
      </c>
      <c r="M88" s="43"/>
      <c r="N88" s="57">
        <f>IFERROR(__xludf.DUMMYFUNCTION("IMPORTRANGE(""https://docs.google.com/spreadsheets/d/1bozxp9FwhaCNzy-RRGPVPfVYTttO4PUGDdaFvbz-Ue0/edit?gid=1870218791#gid=1870218791"", ""Rev vs Mktg &amp; Mktg Mix!N"" &amp; ROW(N26))
"),4.345)</f>
        <v>4.345</v>
      </c>
      <c r="O88" s="47">
        <f>VLOOKUP(VALUE(LEFT(A90, 4)), 'Raw Annual Revenue'!A:O, 15, FALSE) / 4
</f>
        <v>140685</v>
      </c>
      <c r="P88" s="43"/>
      <c r="Q88" s="57"/>
      <c r="R88" s="46"/>
      <c r="S88" s="46">
        <f>VLOOKUP(VALUE(LEFT(A88, 4)), 'Raw Annual Revenue'!A:S, 19, FALSE) / 4</f>
        <v>83272.25</v>
      </c>
      <c r="T88" s="45">
        <f>VLOOKUP(VALUE(LEFT(A91, 4)), 'Raw Annual Revenue'!A:T, 20, FALSE) / 4</f>
        <v>7096.25</v>
      </c>
      <c r="U88" s="43"/>
      <c r="V88" s="43"/>
      <c r="W88" s="43"/>
      <c r="X88" s="45">
        <f>VLOOKUP(VALUE(LEFT($A90, 4)), 'Raw Annual Revenue'!$A:X, 24, FALSE) / 4
</f>
        <v>540590</v>
      </c>
      <c r="Y88" s="46">
        <f>VLOOKUP(VALUE(LEFT(A88, 4)), 'Raw Annual Revenue'!A:Y, 25, FALSE) / 4</f>
        <v>82990.80089</v>
      </c>
      <c r="Z88" s="46">
        <f>VLOOKUP(VALUE(LEFT($A88, 4)), 'Raw Annual Revenue'!$A:Z, 26, FALSE) / 4</f>
        <v>16488.25</v>
      </c>
      <c r="AA88" s="46">
        <f>VLOOKUP(VALUE(LEFT($A88, 4)), 'Raw Annual Revenue'!$A:AA, 27, FALSE) / 4</f>
        <v>308997.5</v>
      </c>
      <c r="AB88" s="46">
        <f>VLOOKUP(VALUE(LEFT($A88, 4)), 'Raw Annual Revenue'!$A:AB, 28, FALSE) / 4</f>
        <v>11662.5</v>
      </c>
      <c r="AC88" s="46">
        <f>VLOOKUP(VALUE(LEFT($A88, 4)), 'Raw Annual Revenue'!$A:AC, 29, FALSE) / 4</f>
        <v>46508.75</v>
      </c>
      <c r="AD88" s="43"/>
    </row>
    <row r="89">
      <c r="A89" s="42" t="s">
        <v>116</v>
      </c>
      <c r="B89" s="50">
        <f>VLOOKUP(VALUE(LEFT(A89, 4)), 'Raw Annual Revenue'!A:B, 2, FALSE) / 4
</f>
        <v>912996.25</v>
      </c>
      <c r="C89" s="54">
        <f>IFERROR(__xludf.DUMMYFUNCTION("IMPORTRANGE(""https://docs.google.com/spreadsheets/d/1bozxp9FwhaCNzy-RRGPVPfVYTttO4PUGDdaFvbz-Ue0/edit?gid=1870218791#gid=1870218791"", ""Rev vs Mktg &amp; Mktg Mix!C"" &amp; ROW(B27))
"),4849.09)</f>
        <v>4849.09</v>
      </c>
      <c r="D89" s="54">
        <f>IFERROR(__xludf.DUMMYFUNCTION("IMPORTRANGE(""https://docs.google.com/spreadsheets/d/1bozxp9FwhaCNzy-RRGPVPfVYTttO4PUGDdaFvbz-Ue0/edit?gid=1870218791#gid=1870218791"", ""Rev vs Mktg &amp; Mktg Mix!D"" &amp; ROW(C27))
"),3276.0)</f>
        <v>3276</v>
      </c>
      <c r="E89" s="54">
        <f>IFERROR(__xludf.DUMMYFUNCTION("IMPORTRANGE(""https://docs.google.com/spreadsheets/d/1bozxp9FwhaCNzy-RRGPVPfVYTttO4PUGDdaFvbz-Ue0/edit?gid=1870218791#gid=1870218791"", ""Rev vs Mktg &amp; Mktg Mix!E"" &amp; ROW(E27))
"),1368.0)</f>
        <v>1368</v>
      </c>
      <c r="F89" s="54">
        <f>IFERROR(__xludf.DUMMYFUNCTION("IMPORTRANGE(""https://docs.google.com/spreadsheets/d/1bozxp9FwhaCNzy-RRGPVPfVYTttO4PUGDdaFvbz-Ue0/edit?gid=1870218791#gid=1870218791"", ""Rev vs Mktg &amp; Mktg Mix!F"" &amp; ROW(G27))
"),458.0)</f>
        <v>458</v>
      </c>
      <c r="G89" s="54">
        <f>IFERROR(__xludf.DUMMYFUNCTION("IMPORTRANGE(""https://docs.google.com/spreadsheets/d/1bozxp9FwhaCNzy-RRGPVPfVYTttO4PUGDdaFvbz-Ue0/edit?gid=1870218791#gid=1870218791"", ""Rev vs Mktg &amp; Mktg Mix!G"" &amp; ROW(I27))
"),253.675)</f>
        <v>253.675</v>
      </c>
      <c r="H89" s="58">
        <f>IFERROR(__xludf.DUMMYFUNCTION("IMPORTRANGE(""https://docs.google.com/spreadsheets/d/1bozxp9FwhaCNzy-RRGPVPfVYTttO4PUGDdaFvbz-Ue0/edit?gid=1870218791#gid=1870218791"", ""Rev vs Mktg &amp; Mktg Mix!H"" &amp; ROW(H27))
"),146.19000000000003)</f>
        <v>146.19</v>
      </c>
      <c r="I89" s="58">
        <f>IFERROR(__xludf.DUMMYFUNCTION("IMPORTRANGE(""https://docs.google.com/spreadsheets/d/1bozxp9FwhaCNzy-RRGPVPfVYTttO4PUGDdaFvbz-Ue0/edit?gid=1870218791#gid=1870218791"", ""Rev vs Mktg &amp; Mktg Mix!I"" &amp; ROW(K27))
"),121.247)</f>
        <v>121.247</v>
      </c>
      <c r="J89" s="58">
        <f>IFERROR(__xludf.DUMMYFUNCTION("IMPORTRANGE(""https://docs.google.com/spreadsheets/d/1bozxp9FwhaCNzy-RRGPVPfVYTttO4PUGDdaFvbz-Ue0/edit?gid=1870218791#gid=1870218791"", ""Rev vs Mktg &amp; Mktg Mix!J"" &amp; ROW(J27))
"),103.609)</f>
        <v>103.609</v>
      </c>
      <c r="K89" s="45"/>
      <c r="L89" s="58">
        <f>IFERROR(__xludf.DUMMYFUNCTION("IMPORTRANGE(""https://docs.google.com/spreadsheets/d/1bozxp9FwhaCNzy-RRGPVPfVYTttO4PUGDdaFvbz-Ue0/edit?gid=1870218791#gid=1870218791"", ""Rev vs Mktg &amp; Mktg Mix!L"" &amp; ROW(N27))
"),131.0961532377)</f>
        <v>131.0961532</v>
      </c>
      <c r="M89" s="52"/>
      <c r="N89" s="57">
        <f>IFERROR(__xludf.DUMMYFUNCTION("IMPORTRANGE(""https://docs.google.com/spreadsheets/d/1bozxp9FwhaCNzy-RRGPVPfVYTttO4PUGDdaFvbz-Ue0/edit?gid=1870218791#gid=1870218791"", ""Rev vs Mktg &amp; Mktg Mix!N"" &amp; ROW(N27))
"),5.105)</f>
        <v>5.105</v>
      </c>
      <c r="O89" s="53">
        <f>IFERROR(__xludf.DUMMYFUNCTION("IMPORTRANGE(""https://docs.google.com/spreadsheets/d/1bozxp9FwhaCNzy-RRGPVPfVYTttO4PUGDdaFvbz-Ue0/edit?gid=1870218791#gid=1870218791"", ""Rev vs Mktg &amp; Mktg Mix!O"" &amp; ROW(O27))
"),57.135000000000005)</f>
        <v>57.135</v>
      </c>
      <c r="P89" s="43"/>
      <c r="Q89" s="57"/>
      <c r="R89" s="46"/>
      <c r="S89" s="46">
        <f>VLOOKUP(VALUE(LEFT(A89, 4)), 'Raw Annual Revenue'!A:S, 19, FALSE) / 4</f>
        <v>83272.25</v>
      </c>
      <c r="T89" s="45">
        <f>VLOOKUP(VALUE(LEFT(A92, 4)), 'Raw Annual Revenue'!A:T, 20, FALSE) / 4</f>
        <v>7096.25</v>
      </c>
      <c r="U89" s="43"/>
      <c r="V89" s="43"/>
      <c r="W89" s="43"/>
      <c r="X89" s="45">
        <f>VLOOKUP(VALUE(LEFT($A91, 4)), 'Raw Annual Revenue'!$A:X, 24, FALSE) / 4
</f>
        <v>532422</v>
      </c>
      <c r="Y89" s="46">
        <f>VLOOKUP(VALUE(LEFT(A89, 4)), 'Raw Annual Revenue'!A:Y, 25, FALSE) / 4</f>
        <v>82990.80089</v>
      </c>
      <c r="Z89" s="46">
        <f>VLOOKUP(VALUE(LEFT($A89, 4)), 'Raw Annual Revenue'!$A:Z, 26, FALSE) / 4</f>
        <v>16488.25</v>
      </c>
      <c r="AA89" s="46">
        <f>VLOOKUP(VALUE(LEFT($A89, 4)), 'Raw Annual Revenue'!$A:AA, 27, FALSE) / 4</f>
        <v>308997.5</v>
      </c>
      <c r="AB89" s="46">
        <f>VLOOKUP(VALUE(LEFT($A89, 4)), 'Raw Annual Revenue'!$A:AB, 28, FALSE) / 4</f>
        <v>11662.5</v>
      </c>
      <c r="AC89" s="46">
        <f>VLOOKUP(VALUE(LEFT($A89, 4)), 'Raw Annual Revenue'!$A:AC, 29, FALSE) / 4</f>
        <v>46508.75</v>
      </c>
      <c r="AD89" s="43"/>
    </row>
    <row r="90">
      <c r="A90" s="42" t="s">
        <v>117</v>
      </c>
      <c r="B90" s="50">
        <f>VLOOKUP(VALUE(LEFT(A90, 4)), 'Raw Annual Revenue'!A:B, 2, FALSE) / 4
</f>
        <v>912996.25</v>
      </c>
      <c r="C90" s="54">
        <f>IFERROR(__xludf.DUMMYFUNCTION("IMPORTRANGE(""https://docs.google.com/spreadsheets/d/1bozxp9FwhaCNzy-RRGPVPfVYTttO4PUGDdaFvbz-Ue0/edit?gid=1870218791#gid=1870218791"", ""Rev vs Mktg &amp; Mktg Mix!C"" &amp; ROW(B28))
"),3213.0)</f>
        <v>3213</v>
      </c>
      <c r="D90" s="54">
        <f>IFERROR(__xludf.DUMMYFUNCTION("IMPORTRANGE(""https://docs.google.com/spreadsheets/d/1bozxp9FwhaCNzy-RRGPVPfVYTttO4PUGDdaFvbz-Ue0/edit?gid=1870218791#gid=1870218791"", ""Rev vs Mktg &amp; Mktg Mix!D"" &amp; ROW(C28))
"),2559.0)</f>
        <v>2559</v>
      </c>
      <c r="E90" s="54">
        <f>IFERROR(__xludf.DUMMYFUNCTION("IMPORTRANGE(""https://docs.google.com/spreadsheets/d/1bozxp9FwhaCNzy-RRGPVPfVYTttO4PUGDdaFvbz-Ue0/edit?gid=1870218791#gid=1870218791"", ""Rev vs Mktg &amp; Mktg Mix!E"" &amp; ROW(E28))
"),1103.0)</f>
        <v>1103</v>
      </c>
      <c r="F90" s="54">
        <f>IFERROR(__xludf.DUMMYFUNCTION("IMPORTRANGE(""https://docs.google.com/spreadsheets/d/1bozxp9FwhaCNzy-RRGPVPfVYTttO4PUGDdaFvbz-Ue0/edit?gid=1870218791#gid=1870218791"", ""Rev vs Mktg &amp; Mktg Mix!F"" &amp; ROW(G28))
"),346.0)</f>
        <v>346</v>
      </c>
      <c r="G90" s="54">
        <f>IFERROR(__xludf.DUMMYFUNCTION("IMPORTRANGE(""https://docs.google.com/spreadsheets/d/1bozxp9FwhaCNzy-RRGPVPfVYTttO4PUGDdaFvbz-Ue0/edit?gid=1870218791#gid=1870218791"", ""Rev vs Mktg &amp; Mktg Mix!G"" &amp; ROW(I28))
"),166.778)</f>
        <v>166.778</v>
      </c>
      <c r="H90" s="58">
        <f>IFERROR(__xludf.DUMMYFUNCTION("IMPORTRANGE(""https://docs.google.com/spreadsheets/d/1bozxp9FwhaCNzy-RRGPVPfVYTttO4PUGDdaFvbz-Ue0/edit?gid=1870218791#gid=1870218791"", ""Rev vs Mktg &amp; Mktg Mix!H"" &amp; ROW(H28))
"),125.4)</f>
        <v>125.4</v>
      </c>
      <c r="I90" s="58">
        <f>IFERROR(__xludf.DUMMYFUNCTION("IMPORTRANGE(""https://docs.google.com/spreadsheets/d/1bozxp9FwhaCNzy-RRGPVPfVYTttO4PUGDdaFvbz-Ue0/edit?gid=1870218791#gid=1870218791"", ""Rev vs Mktg &amp; Mktg Mix!I"" &amp; ROW(K28))
"),132.515)</f>
        <v>132.515</v>
      </c>
      <c r="J90" s="58">
        <f>IFERROR(__xludf.DUMMYFUNCTION("IMPORTRANGE(""https://docs.google.com/spreadsheets/d/1bozxp9FwhaCNzy-RRGPVPfVYTttO4PUGDdaFvbz-Ue0/edit?gid=1870218791#gid=1870218791"", ""Rev vs Mktg &amp; Mktg Mix!J"" &amp; ROW(J28))
"),124.815)</f>
        <v>124.815</v>
      </c>
      <c r="K90" s="45"/>
      <c r="L90" s="58">
        <f>IFERROR(__xludf.DUMMYFUNCTION("IMPORTRANGE(""https://docs.google.com/spreadsheets/d/1bozxp9FwhaCNzy-RRGPVPfVYTttO4PUGDdaFvbz-Ue0/edit?gid=1870218791#gid=1870218791"", ""Rev vs Mktg &amp; Mktg Mix!L"" &amp; ROW(N28))
"),118.26468097079999)</f>
        <v>118.264681</v>
      </c>
      <c r="M90" s="43"/>
      <c r="N90" s="57">
        <f>IFERROR(__xludf.DUMMYFUNCTION("IMPORTRANGE(""https://docs.google.com/spreadsheets/d/1bozxp9FwhaCNzy-RRGPVPfVYTttO4PUGDdaFvbz-Ue0/edit?gid=1870218791#gid=1870218791"", ""Rev vs Mktg &amp; Mktg Mix!N"" &amp; ROW(N28))
"),5.52)</f>
        <v>5.52</v>
      </c>
      <c r="O90" s="57">
        <f>IFERROR(__xludf.DUMMYFUNCTION("IMPORTRANGE(""https://docs.google.com/spreadsheets/d/1bozxp9FwhaCNzy-RRGPVPfVYTttO4PUGDdaFvbz-Ue0/edit?gid=1870218791#gid=1870218791"", ""Rev vs Mktg &amp; Mktg Mix!O"" &amp; ROW(O28))
"),57.135000000000005)</f>
        <v>57.135</v>
      </c>
      <c r="P90" s="43"/>
      <c r="Q90" s="57"/>
      <c r="R90" s="46"/>
      <c r="S90" s="46">
        <f>VLOOKUP(VALUE(LEFT(A90, 4)), 'Raw Annual Revenue'!A:S, 19, FALSE) / 4</f>
        <v>83272.25</v>
      </c>
      <c r="T90" s="45">
        <f>VLOOKUP(VALUE(LEFT(A93, 4)), 'Raw Annual Revenue'!A:T, 20, FALSE) / 4</f>
        <v>7096.25</v>
      </c>
      <c r="U90" s="43"/>
      <c r="V90" s="43"/>
      <c r="W90" s="43"/>
      <c r="X90" s="45">
        <f>VLOOKUP(VALUE(LEFT($A92, 4)), 'Raw Annual Revenue'!$A:X, 24, FALSE) / 4
</f>
        <v>532422</v>
      </c>
      <c r="Y90" s="46">
        <f>VLOOKUP(VALUE(LEFT(A90, 4)), 'Raw Annual Revenue'!A:Y, 25, FALSE) / 4</f>
        <v>82990.80089</v>
      </c>
      <c r="Z90" s="46">
        <f>VLOOKUP(VALUE(LEFT($A90, 4)), 'Raw Annual Revenue'!$A:Z, 26, FALSE) / 4</f>
        <v>16488.25</v>
      </c>
      <c r="AA90" s="46">
        <f>VLOOKUP(VALUE(LEFT($A90, 4)), 'Raw Annual Revenue'!$A:AA, 27, FALSE) / 4</f>
        <v>308997.5</v>
      </c>
      <c r="AB90" s="46">
        <f>VLOOKUP(VALUE(LEFT($A90, 4)), 'Raw Annual Revenue'!$A:AB, 28, FALSE) / 4</f>
        <v>11662.5</v>
      </c>
      <c r="AC90" s="46">
        <f>VLOOKUP(VALUE(LEFT($A90, 4)), 'Raw Annual Revenue'!$A:AC, 29, FALSE) / 4</f>
        <v>46508.75</v>
      </c>
      <c r="AD90" s="43"/>
    </row>
    <row r="91">
      <c r="A91" s="42" t="s">
        <v>118</v>
      </c>
      <c r="B91" s="51">
        <f>IFERROR(__xludf.DUMMYFUNCTION("IMPORTRANGE(""https://docs.google.com/spreadsheets/d/1bozxp9FwhaCNzy-RRGPVPfVYTttO4PUGDdaFvbz-Ue0/edit?gid=1870218791#gid=1870218791"", ""Rev vs Mktg &amp; Mktg Mix!B"" &amp; ROW(A29))
"),839.0)</f>
        <v>839</v>
      </c>
      <c r="C91" s="54">
        <f>IFERROR(__xludf.DUMMYFUNCTION("IMPORTRANGE(""https://docs.google.com/spreadsheets/d/1bozxp9FwhaCNzy-RRGPVPfVYTttO4PUGDdaFvbz-Ue0/edit?gid=1870218791#gid=1870218791"", ""Rev vs Mktg &amp; Mktg Mix!C"" &amp; ROW(B29))
"),2837.0)</f>
        <v>2837</v>
      </c>
      <c r="D91" s="54">
        <f>IFERROR(__xludf.DUMMYFUNCTION("IMPORTRANGE(""https://docs.google.com/spreadsheets/d/1bozxp9FwhaCNzy-RRGPVPfVYTttO4PUGDdaFvbz-Ue0/edit?gid=1870218791#gid=1870218791"", ""Rev vs Mktg &amp; Mktg Mix!D"" &amp; ROW(C29))
"),2609.0)</f>
        <v>2609</v>
      </c>
      <c r="E91" s="54">
        <f>IFERROR(__xludf.DUMMYFUNCTION("IMPORTRANGE(""https://docs.google.com/spreadsheets/d/1bozxp9FwhaCNzy-RRGPVPfVYTttO4PUGDdaFvbz-Ue0/edit?gid=1870218791#gid=1870218791"", ""Rev vs Mktg &amp; Mktg Mix!E"" &amp; ROW(E29))
"),1218.0)</f>
        <v>1218</v>
      </c>
      <c r="F91" s="54">
        <f>IFERROR(__xludf.DUMMYFUNCTION("IMPORTRANGE(""https://docs.google.com/spreadsheets/d/1bozxp9FwhaCNzy-RRGPVPfVYTttO4PUGDdaFvbz-Ue0/edit?gid=1870218791#gid=1870218791"", ""Rev vs Mktg &amp; Mktg Mix!F"" &amp; ROW(G29))
"),376.0)</f>
        <v>376</v>
      </c>
      <c r="G91" s="54">
        <f>IFERROR(__xludf.DUMMYFUNCTION("IMPORTRANGE(""https://docs.google.com/spreadsheets/d/1bozxp9FwhaCNzy-RRGPVPfVYTttO4PUGDdaFvbz-Ue0/edit?gid=1870218791#gid=1870218791"", ""Rev vs Mktg &amp; Mktg Mix!G"" &amp; ROW(I29))
"),208.96)</f>
        <v>208.96</v>
      </c>
      <c r="H91" s="58">
        <f>IFERROR(__xludf.DUMMYFUNCTION("IMPORTRANGE(""https://docs.google.com/spreadsheets/d/1bozxp9FwhaCNzy-RRGPVPfVYTttO4PUGDdaFvbz-Ue0/edit?gid=1870218791#gid=1870218791"", ""Rev vs Mktg &amp; Mktg Mix!H"" &amp; ROW(H29))
"),166.54000000000002)</f>
        <v>166.54</v>
      </c>
      <c r="I91" s="58">
        <f>IFERROR(__xludf.DUMMYFUNCTION("IMPORTRANGE(""https://docs.google.com/spreadsheets/d/1bozxp9FwhaCNzy-RRGPVPfVYTttO4PUGDdaFvbz-Ue0/edit?gid=1870218791#gid=1870218791"", ""Rev vs Mktg &amp; Mktg Mix!I"" &amp; ROW(K29))
"),133.1)</f>
        <v>133.1</v>
      </c>
      <c r="J91" s="58">
        <f>IFERROR(__xludf.DUMMYFUNCTION("IMPORTRANGE(""https://docs.google.com/spreadsheets/d/1bozxp9FwhaCNzy-RRGPVPfVYTttO4PUGDdaFvbz-Ue0/edit?gid=1870218791#gid=1870218791"", ""Rev vs Mktg &amp; Mktg Mix!J"" &amp; ROW(J29))
"),120.177)</f>
        <v>120.177</v>
      </c>
      <c r="K91" s="45"/>
      <c r="L91" s="58">
        <f>IFERROR(__xludf.DUMMYFUNCTION("IMPORTRANGE(""https://docs.google.com/spreadsheets/d/1bozxp9FwhaCNzy-RRGPVPfVYTttO4PUGDdaFvbz-Ue0/edit?gid=1870218791#gid=1870218791"", ""Rev vs Mktg &amp; Mktg Mix!L"" &amp; ROW(N29))
"),80.6095416)</f>
        <v>80.6095416</v>
      </c>
      <c r="M91" s="53">
        <f>IFERROR(__xludf.DUMMYFUNCTION("IMPORTRANGE(""https://docs.google.com/spreadsheets/d/1bozxp9FwhaCNzy-RRGPVPfVYTttO4PUGDdaFvbz-Ue0/edit?gid=1870218791#gid=1870218791"", ""Rev vs Mktg &amp; Mktg Mix!M"" &amp; ROW(M29))
"),17.178047630860966)</f>
        <v>17.17804763</v>
      </c>
      <c r="N91" s="57">
        <f>IFERROR(__xludf.DUMMYFUNCTION("IMPORTRANGE(""https://docs.google.com/spreadsheets/d/1bozxp9FwhaCNzy-RRGPVPfVYTttO4PUGDdaFvbz-Ue0/edit?gid=1870218791#gid=1870218791"", ""Rev vs Mktg &amp; Mktg Mix!N"" &amp; ROW(N29))
"),6.081)</f>
        <v>6.081</v>
      </c>
      <c r="O91" s="57">
        <f>IFERROR(__xludf.DUMMYFUNCTION("IMPORTRANGE(""https://docs.google.com/spreadsheets/d/1bozxp9FwhaCNzy-RRGPVPfVYTttO4PUGDdaFvbz-Ue0/edit?gid=1870218791#gid=1870218791"", ""Rev vs Mktg &amp; Mktg Mix!O"" &amp; ROW(O29))
"),62.26999999999999)</f>
        <v>62.27</v>
      </c>
      <c r="P91" s="43"/>
      <c r="Q91" s="57"/>
      <c r="R91" s="46"/>
      <c r="S91" s="46">
        <f>VLOOKUP(VALUE(LEFT(A91, 4)), 'Raw Annual Revenue'!A:S, 19, FALSE) / 4</f>
        <v>98029</v>
      </c>
      <c r="T91" s="45">
        <f>VLOOKUP(VALUE(LEFT(A94, 4)), 'Raw Annual Revenue'!A:T, 20, FALSE) / 4</f>
        <v>7096.25</v>
      </c>
      <c r="U91" s="59">
        <f>IFERROR(__xludf.DUMMYFUNCTION("IMPORTRANGE(""https://docs.google.com/spreadsheets/d/1bozxp9FwhaCNzy-RRGPVPfVYTttO4PUGDdaFvbz-Ue0/edit?gid=1870218791#gid=1870218791"", ""Rev vs Mktg &amp; Mktg Mix!u"" &amp; ROW(Z29))
"),32.655)</f>
        <v>32.655</v>
      </c>
      <c r="V91" s="43"/>
      <c r="W91" s="43"/>
      <c r="X91" s="45">
        <f>VLOOKUP(VALUE(LEFT($A93, 4)), 'Raw Annual Revenue'!$A:X, 24, FALSE) / 4
</f>
        <v>532422</v>
      </c>
      <c r="Y91" s="46">
        <f>VLOOKUP(VALUE(LEFT(A91, 4)), 'Raw Annual Revenue'!A:Y, 25, FALSE) / 4</f>
        <v>102150.2214</v>
      </c>
      <c r="Z91" s="46">
        <f>VLOOKUP(VALUE(LEFT($A91, 4)), 'Raw Annual Revenue'!$A:Z, 26, FALSE) / 4</f>
        <v>24060.5</v>
      </c>
      <c r="AA91" s="46">
        <f>VLOOKUP(VALUE(LEFT($A91, 4)), 'Raw Annual Revenue'!$A:AA, 27, FALSE) / 4</f>
        <v>356927.5</v>
      </c>
      <c r="AB91" s="46">
        <f>VLOOKUP(VALUE(LEFT($A91, 4)), 'Raw Annual Revenue'!$A:AB, 28, FALSE) / 4</f>
        <v>10254.25</v>
      </c>
      <c r="AC91" s="46">
        <f>VLOOKUP(VALUE(LEFT($A91, 4)), 'Raw Annual Revenue'!$A:AC, 29, FALSE) / 4</f>
        <v>58839.25</v>
      </c>
      <c r="AD91" s="43"/>
    </row>
    <row r="92">
      <c r="A92" s="42" t="s">
        <v>119</v>
      </c>
      <c r="B92" s="54">
        <f>IFERROR(__xludf.DUMMYFUNCTION("IMPORTRANGE(""https://docs.google.com/spreadsheets/d/1bozxp9FwhaCNzy-RRGPVPfVYTttO4PUGDdaFvbz-Ue0/edit?gid=1870218791#gid=1870218791"", ""Rev vs Mktg &amp; Mktg Mix!B"" &amp; ROW(A30))
"),1214.0)</f>
        <v>1214</v>
      </c>
      <c r="C92" s="54">
        <f>IFERROR(__xludf.DUMMYFUNCTION("IMPORTRANGE(""https://docs.google.com/spreadsheets/d/1bozxp9FwhaCNzy-RRGPVPfVYTttO4PUGDdaFvbz-Ue0/edit?gid=1870218791#gid=1870218791"", ""Rev vs Mktg &amp; Mktg Mix!C"" &amp; ROW(B30))
"),3850.0)</f>
        <v>3850</v>
      </c>
      <c r="D92" s="54">
        <f>IFERROR(__xludf.DUMMYFUNCTION("IMPORTRANGE(""https://docs.google.com/spreadsheets/d/1bozxp9FwhaCNzy-RRGPVPfVYTttO4PUGDdaFvbz-Ue0/edit?gid=1870218791#gid=1870218791"", ""Rev vs Mktg &amp; Mktg Mix!D"" &amp; ROW(C30))
"),3153.0)</f>
        <v>3153</v>
      </c>
      <c r="E92" s="54">
        <f>IFERROR(__xludf.DUMMYFUNCTION("IMPORTRANGE(""https://docs.google.com/spreadsheets/d/1bozxp9FwhaCNzy-RRGPVPfVYTttO4PUGDdaFvbz-Ue0/edit?gid=1870218791#gid=1870218791"", ""Rev vs Mktg &amp; Mktg Mix!E"" &amp; ROW(E30))
"),1267.0)</f>
        <v>1267</v>
      </c>
      <c r="F92" s="54">
        <f>IFERROR(__xludf.DUMMYFUNCTION("IMPORTRANGE(""https://docs.google.com/spreadsheets/d/1bozxp9FwhaCNzy-RRGPVPfVYTttO4PUGDdaFvbz-Ue0/edit?gid=1870218791#gid=1870218791"", ""Rev vs Mktg &amp; Mktg Mix!F"" &amp; ROW(G30))
"),422.0)</f>
        <v>422</v>
      </c>
      <c r="G92" s="54">
        <f>IFERROR(__xludf.DUMMYFUNCTION("IMPORTRANGE(""https://docs.google.com/spreadsheets/d/1bozxp9FwhaCNzy-RRGPVPfVYTttO4PUGDdaFvbz-Ue0/edit?gid=1870218791#gid=1870218791"", ""Rev vs Mktg &amp; Mktg Mix!G"" &amp; ROW(I30))
"),223.7)</f>
        <v>223.7</v>
      </c>
      <c r="H92" s="58">
        <f>IFERROR(__xludf.DUMMYFUNCTION("IMPORTRANGE(""https://docs.google.com/spreadsheets/d/1bozxp9FwhaCNzy-RRGPVPfVYTttO4PUGDdaFvbz-Ue0/edit?gid=1870218791#gid=1870218791"", ""Rev vs Mktg &amp; Mktg Mix!H"" &amp; ROW(H30))
"),155.65)</f>
        <v>155.65</v>
      </c>
      <c r="I92" s="58">
        <f>IFERROR(__xludf.DUMMYFUNCTION("IMPORTRANGE(""https://docs.google.com/spreadsheets/d/1bozxp9FwhaCNzy-RRGPVPfVYTttO4PUGDdaFvbz-Ue0/edit?gid=1870218791#gid=1870218791"", ""Rev vs Mktg &amp; Mktg Mix!I"" &amp; ROW(K30))
"),114.1)</f>
        <v>114.1</v>
      </c>
      <c r="J92" s="58">
        <f>IFERROR(__xludf.DUMMYFUNCTION("IMPORTRANGE(""https://docs.google.com/spreadsheets/d/1bozxp9FwhaCNzy-RRGPVPfVYTttO4PUGDdaFvbz-Ue0/edit?gid=1870218791#gid=1870218791"", ""Rev vs Mktg &amp; Mktg Mix!J"" &amp; ROW(J30))
"),141.737)</f>
        <v>141.737</v>
      </c>
      <c r="K92" s="45"/>
      <c r="L92" s="58">
        <f>IFERROR(__xludf.DUMMYFUNCTION("IMPORTRANGE(""https://docs.google.com/spreadsheets/d/1bozxp9FwhaCNzy-RRGPVPfVYTttO4PUGDdaFvbz-Ue0/edit?gid=1870218791#gid=1870218791"", ""Rev vs Mktg &amp; Mktg Mix!L"" &amp; ROW(N30))
"),91.0117731831)</f>
        <v>91.01177318</v>
      </c>
      <c r="M92" s="57">
        <f>IFERROR(__xludf.DUMMYFUNCTION("IMPORTRANGE(""https://docs.google.com/spreadsheets/d/1bozxp9FwhaCNzy-RRGPVPfVYTttO4PUGDdaFvbz-Ue0/edit?gid=1870218791#gid=1870218791"", ""Rev vs Mktg &amp; Mktg Mix!M"" &amp; ROW(M30))
"),58.24972191605707)</f>
        <v>58.24972192</v>
      </c>
      <c r="N92" s="57">
        <f>IFERROR(__xludf.DUMMYFUNCTION("IMPORTRANGE(""https://docs.google.com/spreadsheets/d/1bozxp9FwhaCNzy-RRGPVPfVYTttO4PUGDdaFvbz-Ue0/edit?gid=1870218791#gid=1870218791"", ""Rev vs Mktg &amp; Mktg Mix!N"" &amp; ROW(N30))
"),7.423)</f>
        <v>7.423</v>
      </c>
      <c r="O92" s="57">
        <f>IFERROR(__xludf.DUMMYFUNCTION("IMPORTRANGE(""https://docs.google.com/spreadsheets/d/1bozxp9FwhaCNzy-RRGPVPfVYTttO4PUGDdaFvbz-Ue0/edit?gid=1870218791#gid=1870218791"", ""Rev vs Mktg &amp; Mktg Mix!O"" &amp; ROW(O30))
"),62.26999999999999)</f>
        <v>62.27</v>
      </c>
      <c r="P92" s="43"/>
      <c r="Q92" s="57"/>
      <c r="R92" s="46"/>
      <c r="S92" s="46">
        <f>VLOOKUP(VALUE(LEFT(A92, 4)), 'Raw Annual Revenue'!A:S, 19, FALSE) / 4</f>
        <v>98029</v>
      </c>
      <c r="T92" s="45">
        <f>VLOOKUP(VALUE(LEFT(A95, 4)), 'Raw Annual Revenue'!A:T, 20, FALSE) / 4</f>
        <v>5648.75</v>
      </c>
      <c r="U92" s="60">
        <f>IFERROR(__xludf.DUMMYFUNCTION("IMPORTRANGE(""https://docs.google.com/spreadsheets/d/1bozxp9FwhaCNzy-RRGPVPfVYTttO4PUGDdaFvbz-Ue0/edit?gid=1870218791#gid=1870218791"", ""Rev vs Mktg &amp; Mktg Mix!u"" &amp; ROW(Z30))
"),32.658)</f>
        <v>32.658</v>
      </c>
      <c r="V92" s="43"/>
      <c r="W92" s="43"/>
      <c r="X92" s="45">
        <f>VLOOKUP(VALUE(LEFT($A94, 4)), 'Raw Annual Revenue'!$A:X, 24, FALSE) / 4
</f>
        <v>532422</v>
      </c>
      <c r="Y92" s="46">
        <f>VLOOKUP(VALUE(LEFT(A92, 4)), 'Raw Annual Revenue'!A:Y, 25, FALSE) / 4</f>
        <v>102150.2214</v>
      </c>
      <c r="Z92" s="46">
        <f>VLOOKUP(VALUE(LEFT($A92, 4)), 'Raw Annual Revenue'!$A:Z, 26, FALSE) / 4</f>
        <v>24060.5</v>
      </c>
      <c r="AA92" s="46">
        <f>VLOOKUP(VALUE(LEFT($A92, 4)), 'Raw Annual Revenue'!$A:AA, 27, FALSE) / 4</f>
        <v>356927.5</v>
      </c>
      <c r="AB92" s="46">
        <f>VLOOKUP(VALUE(LEFT($A92, 4)), 'Raw Annual Revenue'!$A:AB, 28, FALSE) / 4</f>
        <v>10254.25</v>
      </c>
      <c r="AC92" s="46">
        <f>VLOOKUP(VALUE(LEFT($A92, 4)), 'Raw Annual Revenue'!$A:AC, 29, FALSE) / 4</f>
        <v>58839.25</v>
      </c>
      <c r="AD92" s="43"/>
    </row>
    <row r="93">
      <c r="A93" s="42" t="s">
        <v>120</v>
      </c>
      <c r="B93" s="54">
        <f>IFERROR(__xludf.DUMMYFUNCTION("IMPORTRANGE(""https://docs.google.com/spreadsheets/d/1bozxp9FwhaCNzy-RRGPVPfVYTttO4PUGDdaFvbz-Ue0/edit?gid=1870218791#gid=1870218791"", ""Rev vs Mktg &amp; Mktg Mix!B"" &amp; ROW(A31))
"),1646.0)</f>
        <v>1646</v>
      </c>
      <c r="C93" s="54">
        <f>IFERROR(__xludf.DUMMYFUNCTION("IMPORTRANGE(""https://docs.google.com/spreadsheets/d/1bozxp9FwhaCNzy-RRGPVPfVYTttO4PUGDdaFvbz-Ue0/edit?gid=1870218791#gid=1870218791"", ""Rev vs Mktg &amp; Mktg Mix!C"" &amp; ROW(B31))
"),5040.0)</f>
        <v>5040</v>
      </c>
      <c r="D93" s="54">
        <f>IFERROR(__xludf.DUMMYFUNCTION("IMPORTRANGE(""https://docs.google.com/spreadsheets/d/1bozxp9FwhaCNzy-RRGPVPfVYTttO4PUGDdaFvbz-Ue0/edit?gid=1870218791#gid=1870218791"", ""Rev vs Mktg &amp; Mktg Mix!D"" &amp; ROW(C31))
"),3558.0)</f>
        <v>3558</v>
      </c>
      <c r="E93" s="54">
        <f>IFERROR(__xludf.DUMMYFUNCTION("IMPORTRANGE(""https://docs.google.com/spreadsheets/d/1bozxp9FwhaCNzy-RRGPVPfVYTttO4PUGDdaFvbz-Ue0/edit?gid=1870218791#gid=1870218791"", ""Rev vs Mktg &amp; Mktg Mix!E"" &amp; ROW(E31))
"),1469.0)</f>
        <v>1469</v>
      </c>
      <c r="F93" s="54">
        <f>IFERROR(__xludf.DUMMYFUNCTION("IMPORTRANGE(""https://docs.google.com/spreadsheets/d/1bozxp9FwhaCNzy-RRGPVPfVYTttO4PUGDdaFvbz-Ue0/edit?gid=1870218791#gid=1870218791"", ""Rev vs Mktg &amp; Mktg Mix!F"" &amp; ROW(G31))
"),428.0)</f>
        <v>428</v>
      </c>
      <c r="G93" s="54">
        <f>IFERROR(__xludf.DUMMYFUNCTION("IMPORTRANGE(""https://docs.google.com/spreadsheets/d/1bozxp9FwhaCNzy-RRGPVPfVYTttO4PUGDdaFvbz-Ue0/edit?gid=1870218791#gid=1870218791"", ""Rev vs Mktg &amp; Mktg Mix!G"" &amp; ROW(I31))
"),250.5)</f>
        <v>250.5</v>
      </c>
      <c r="H93" s="58">
        <f>IFERROR(__xludf.DUMMYFUNCTION("IMPORTRANGE(""https://docs.google.com/spreadsheets/d/1bozxp9FwhaCNzy-RRGPVPfVYTttO4PUGDdaFvbz-Ue0/edit?gid=1870218791#gid=1870218791"", ""Rev vs Mktg &amp; Mktg Mix!H"" &amp; ROW(H31))
"),153.67)</f>
        <v>153.67</v>
      </c>
      <c r="I93" s="58">
        <f>IFERROR(__xludf.DUMMYFUNCTION("IMPORTRANGE(""https://docs.google.com/spreadsheets/d/1bozxp9FwhaCNzy-RRGPVPfVYTttO4PUGDdaFvbz-Ue0/edit?gid=1870218791#gid=1870218791"", ""Rev vs Mktg &amp; Mktg Mix!I"" &amp; ROW(K31))
"),132.0)</f>
        <v>132</v>
      </c>
      <c r="J93" s="58">
        <f>IFERROR(__xludf.DUMMYFUNCTION("IMPORTRANGE(""https://docs.google.com/spreadsheets/d/1bozxp9FwhaCNzy-RRGPVPfVYTttO4PUGDdaFvbz-Ue0/edit?gid=1870218791#gid=1870218791"", ""Rev vs Mktg &amp; Mktg Mix!J"" &amp; ROW(J31))
"),117.957)</f>
        <v>117.957</v>
      </c>
      <c r="K93" s="45"/>
      <c r="L93" s="58">
        <f>IFERROR(__xludf.DUMMYFUNCTION("IMPORTRANGE(""https://docs.google.com/spreadsheets/d/1bozxp9FwhaCNzy-RRGPVPfVYTttO4PUGDdaFvbz-Ue0/edit?gid=1870218791#gid=1870218791"", ""Rev vs Mktg &amp; Mktg Mix!L"" &amp; ROW(N31))
"),93.142308)</f>
        <v>93.142308</v>
      </c>
      <c r="M93" s="57">
        <f>IFERROR(__xludf.DUMMYFUNCTION("IMPORTRANGE(""https://docs.google.com/spreadsheets/d/1bozxp9FwhaCNzy-RRGPVPfVYTttO4PUGDdaFvbz-Ue0/edit?gid=1870218791#gid=1870218791"", ""Rev vs Mktg &amp; Mktg Mix!M"" &amp; ROW(M31))
"),64.93647871196268)</f>
        <v>64.93647871</v>
      </c>
      <c r="N93" s="57">
        <f>IFERROR(__xludf.DUMMYFUNCTION("IMPORTRANGE(""https://docs.google.com/spreadsheets/d/1bozxp9FwhaCNzy-RRGPVPfVYTttO4PUGDdaFvbz-Ue0/edit?gid=1870218791#gid=1870218791"", ""Rev vs Mktg &amp; Mktg Mix!N"" &amp; ROW(N31))
"),8.043)</f>
        <v>8.043</v>
      </c>
      <c r="O93" s="57">
        <f>IFERROR(__xludf.DUMMYFUNCTION("IMPORTRANGE(""https://docs.google.com/spreadsheets/d/1bozxp9FwhaCNzy-RRGPVPfVYTttO4PUGDdaFvbz-Ue0/edit?gid=1870218791#gid=1870218791"", ""Rev vs Mktg &amp; Mktg Mix!O"" &amp; ROW(O31))
"),70.91499999999999)</f>
        <v>70.915</v>
      </c>
      <c r="P93" s="43"/>
      <c r="Q93" s="57"/>
      <c r="R93" s="46"/>
      <c r="S93" s="46">
        <f>VLOOKUP(VALUE(LEFT(A93, 4)), 'Raw Annual Revenue'!A:S, 19, FALSE) / 4</f>
        <v>98029</v>
      </c>
      <c r="T93" s="45">
        <f>VLOOKUP(VALUE(LEFT(A96, 4)), 'Raw Annual Revenue'!A:T, 20, FALSE) / 4</f>
        <v>5648.75</v>
      </c>
      <c r="U93" s="60">
        <f>IFERROR(__xludf.DUMMYFUNCTION("IMPORTRANGE(""https://docs.google.com/spreadsheets/d/1bozxp9FwhaCNzy-RRGPVPfVYTttO4PUGDdaFvbz-Ue0/edit?gid=1870218791#gid=1870218791"", ""Rev vs Mktg &amp; Mktg Mix!u"" &amp; ROW(Z31))
"),24.884)</f>
        <v>24.884</v>
      </c>
      <c r="V93" s="43"/>
      <c r="W93" s="43"/>
      <c r="X93" s="45">
        <f>VLOOKUP(VALUE(LEFT($A95, 4)), 'Raw Annual Revenue'!$A:X, 24, FALSE) / 4
</f>
        <v>350714.75</v>
      </c>
      <c r="Y93" s="46">
        <f>VLOOKUP(VALUE(LEFT(A93, 4)), 'Raw Annual Revenue'!A:Y, 25, FALSE) / 4</f>
        <v>102150.2214</v>
      </c>
      <c r="Z93" s="46">
        <f>VLOOKUP(VALUE(LEFT($A93, 4)), 'Raw Annual Revenue'!$A:Z, 26, FALSE) / 4</f>
        <v>24060.5</v>
      </c>
      <c r="AA93" s="46">
        <f>VLOOKUP(VALUE(LEFT($A93, 4)), 'Raw Annual Revenue'!$A:AA, 27, FALSE) / 4</f>
        <v>356927.5</v>
      </c>
      <c r="AB93" s="46">
        <f>VLOOKUP(VALUE(LEFT($A93, 4)), 'Raw Annual Revenue'!$A:AB, 28, FALSE) / 4</f>
        <v>10254.25</v>
      </c>
      <c r="AC93" s="46">
        <f>VLOOKUP(VALUE(LEFT($A93, 4)), 'Raw Annual Revenue'!$A:AC, 29, FALSE) / 4</f>
        <v>58839.25</v>
      </c>
      <c r="AD93" s="43"/>
    </row>
    <row r="94">
      <c r="A94" s="42" t="s">
        <v>121</v>
      </c>
      <c r="B94" s="54">
        <f>IFERROR(__xludf.DUMMYFUNCTION("IMPORTRANGE(""https://docs.google.com/spreadsheets/d/1bozxp9FwhaCNzy-RRGPVPfVYTttO4PUGDdaFvbz-Ue0/edit?gid=1870218791#gid=1870218791"", ""Rev vs Mktg &amp; Mktg Mix!B"" &amp; ROW(A32))
"),1107.0)</f>
        <v>1107</v>
      </c>
      <c r="C94" s="54">
        <f>IFERROR(__xludf.DUMMYFUNCTION("IMPORTRANGE(""https://docs.google.com/spreadsheets/d/1bozxp9FwhaCNzy-RRGPVPfVYTttO4PUGDdaFvbz-Ue0/edit?gid=1870218791#gid=1870218791"", ""Rev vs Mktg &amp; Mktg Mix!C"" &amp; ROW(B32))
"),3339.0)</f>
        <v>3339</v>
      </c>
      <c r="D94" s="54">
        <f>IFERROR(__xludf.DUMMYFUNCTION("IMPORTRANGE(""https://docs.google.com/spreadsheets/d/1bozxp9FwhaCNzy-RRGPVPfVYTttO4PUGDdaFvbz-Ue0/edit?gid=1870218791#gid=1870218791"", ""Rev vs Mktg &amp; Mktg Mix!D"" &amp; ROW(C32))
"),2747.0)</f>
        <v>2747</v>
      </c>
      <c r="E94" s="54">
        <f>IFERROR(__xludf.DUMMYFUNCTION("IMPORTRANGE(""https://docs.google.com/spreadsheets/d/1bozxp9FwhaCNzy-RRGPVPfVYTttO4PUGDdaFvbz-Ue0/edit?gid=1870218791#gid=1870218791"", ""Rev vs Mktg &amp; Mktg Mix!E"" &amp; ROW(E32))
"),1150.0)</f>
        <v>1150</v>
      </c>
      <c r="F94" s="54">
        <f>IFERROR(__xludf.DUMMYFUNCTION("IMPORTRANGE(""https://docs.google.com/spreadsheets/d/1bozxp9FwhaCNzy-RRGPVPfVYTttO4PUGDdaFvbz-Ue0/edit?gid=1870218791#gid=1870218791"", ""Rev vs Mktg &amp; Mktg Mix!F"" &amp; ROW(G32))
"),335.0)</f>
        <v>335</v>
      </c>
      <c r="G94" s="54">
        <f>IFERROR(__xludf.DUMMYFUNCTION("IMPORTRANGE(""https://docs.google.com/spreadsheets/d/1bozxp9FwhaCNzy-RRGPVPfVYTttO4PUGDdaFvbz-Ue0/edit?gid=1870218791#gid=1870218791"", ""Rev vs Mktg &amp; Mktg Mix!G"" &amp; ROW(I32))
"),155.5)</f>
        <v>155.5</v>
      </c>
      <c r="H94" s="58">
        <f>IFERROR(__xludf.DUMMYFUNCTION("IMPORTRANGE(""https://docs.google.com/spreadsheets/d/1bozxp9FwhaCNzy-RRGPVPfVYTttO4PUGDdaFvbz-Ue0/edit?gid=1870218791#gid=1870218791"", ""Rev vs Mktg &amp; Mktg Mix!H"" &amp; ROW(H32))
"),144.87)</f>
        <v>144.87</v>
      </c>
      <c r="I94" s="58">
        <f>IFERROR(__xludf.DUMMYFUNCTION("IMPORTRANGE(""https://docs.google.com/spreadsheets/d/1bozxp9FwhaCNzy-RRGPVPfVYTttO4PUGDdaFvbz-Ue0/edit?gid=1870218791#gid=1870218791"", ""Rev vs Mktg &amp; Mktg Mix!I"" &amp; ROW(K32))
"),145.6)</f>
        <v>145.6</v>
      </c>
      <c r="J94" s="58">
        <f>IFERROR(__xludf.DUMMYFUNCTION("IMPORTRANGE(""https://docs.google.com/spreadsheets/d/1bozxp9FwhaCNzy-RRGPVPfVYTttO4PUGDdaFvbz-Ue0/edit?gid=1870218791#gid=1870218791"", ""Rev vs Mktg &amp; Mktg Mix!J"" &amp; ROW(J32))
"),146.889)</f>
        <v>146.889</v>
      </c>
      <c r="K94" s="45"/>
      <c r="L94" s="58">
        <f>IFERROR(__xludf.DUMMYFUNCTION("IMPORTRANGE(""https://docs.google.com/spreadsheets/d/1bozxp9FwhaCNzy-RRGPVPfVYTttO4PUGDdaFvbz-Ue0/edit?gid=1870218791#gid=1870218791"", ""Rev vs Mktg &amp; Mktg Mix!L"" &amp; ROW(N32))
"),74.7462773169)</f>
        <v>74.74627732</v>
      </c>
      <c r="M94" s="57">
        <f>IFERROR(__xludf.DUMMYFUNCTION("IMPORTRANGE(""https://docs.google.com/spreadsheets/d/1bozxp9FwhaCNzy-RRGPVPfVYTttO4PUGDdaFvbz-Ue0/edit?gid=1870218791#gid=1870218791"", ""Rev vs Mktg &amp; Mktg Mix!M"" &amp; ROW(M32))
"),60.52667789397317)</f>
        <v>60.52667789</v>
      </c>
      <c r="N94" s="57">
        <f>IFERROR(__xludf.DUMMYFUNCTION("IMPORTRANGE(""https://docs.google.com/spreadsheets/d/1bozxp9FwhaCNzy-RRGPVPfVYTttO4PUGDdaFvbz-Ue0/edit?gid=1870218791#gid=1870218791"", ""Rev vs Mktg &amp; Mktg Mix!N"" &amp; ROW(N32))
"),7.562)</f>
        <v>7.562</v>
      </c>
      <c r="O94" s="57">
        <f>IFERROR(__xludf.DUMMYFUNCTION("IMPORTRANGE(""https://docs.google.com/spreadsheets/d/1bozxp9FwhaCNzy-RRGPVPfVYTttO4PUGDdaFvbz-Ue0/edit?gid=1870218791#gid=1870218791"", ""Rev vs Mktg &amp; Mktg Mix!O"" &amp; ROW(O32))
"),70.91499999999999)</f>
        <v>70.915</v>
      </c>
      <c r="P94" s="43"/>
      <c r="Q94" s="57"/>
      <c r="R94" s="46"/>
      <c r="S94" s="46">
        <f>VLOOKUP(VALUE(LEFT(A94, 4)), 'Raw Annual Revenue'!A:S, 19, FALSE) / 4</f>
        <v>98029</v>
      </c>
      <c r="T94" s="45">
        <f>VLOOKUP(VALUE(LEFT(A97, 4)), 'Raw Annual Revenue'!A:T, 20, FALSE) / 4</f>
        <v>5648.75</v>
      </c>
      <c r="U94" s="60">
        <f>IFERROR(__xludf.DUMMYFUNCTION("IMPORTRANGE(""https://docs.google.com/spreadsheets/d/1bozxp9FwhaCNzy-RRGPVPfVYTttO4PUGDdaFvbz-Ue0/edit?gid=1870218791#gid=1870218791"", ""Rev vs Mktg &amp; Mktg Mix!u"" &amp; ROW(Z32))
"),27.561)</f>
        <v>27.561</v>
      </c>
      <c r="V94" s="43"/>
      <c r="W94" s="43"/>
      <c r="X94" s="45">
        <f>VLOOKUP(VALUE(LEFT($A96, 4)), 'Raw Annual Revenue'!$A:X, 24, FALSE) / 4
</f>
        <v>350714.75</v>
      </c>
      <c r="Y94" s="46">
        <f>VLOOKUP(VALUE(LEFT(A94, 4)), 'Raw Annual Revenue'!A:Y, 25, FALSE) / 4</f>
        <v>102150.2214</v>
      </c>
      <c r="Z94" s="46">
        <f>VLOOKUP(VALUE(LEFT($A94, 4)), 'Raw Annual Revenue'!$A:Z, 26, FALSE) / 4</f>
        <v>24060.5</v>
      </c>
      <c r="AA94" s="46">
        <f>VLOOKUP(VALUE(LEFT($A94, 4)), 'Raw Annual Revenue'!$A:AA, 27, FALSE) / 4</f>
        <v>356927.5</v>
      </c>
      <c r="AB94" s="46">
        <f>VLOOKUP(VALUE(LEFT($A94, 4)), 'Raw Annual Revenue'!$A:AB, 28, FALSE) / 4</f>
        <v>10254.25</v>
      </c>
      <c r="AC94" s="46">
        <f>VLOOKUP(VALUE(LEFT($A94, 4)), 'Raw Annual Revenue'!$A:AC, 29, FALSE) / 4</f>
        <v>58839.25</v>
      </c>
      <c r="AD94" s="43"/>
    </row>
    <row r="95">
      <c r="A95" s="42" t="s">
        <v>122</v>
      </c>
      <c r="B95" s="54">
        <f>IFERROR(__xludf.DUMMYFUNCTION("IMPORTRANGE(""https://docs.google.com/spreadsheets/d/1bozxp9FwhaCNzy-RRGPVPfVYTttO4PUGDdaFvbz-Ue0/edit?gid=1870218791#gid=1870218791"", ""Rev vs Mktg &amp; Mktg Mix!B"" &amp; ROW(A33))
"),841.83)</f>
        <v>841.83</v>
      </c>
      <c r="C95" s="54">
        <f>IFERROR(__xludf.DUMMYFUNCTION("IMPORTRANGE(""https://docs.google.com/spreadsheets/d/1bozxp9FwhaCNzy-RRGPVPfVYTttO4PUGDdaFvbz-Ue0/edit?gid=1870218791#gid=1870218791"", ""Rev vs Mktg &amp; Mktg Mix!C"" &amp; ROW(B33))
"),2288.0)</f>
        <v>2288</v>
      </c>
      <c r="D95" s="54">
        <f>IFERROR(__xludf.DUMMYFUNCTION("IMPORTRANGE(""https://docs.google.com/spreadsheets/d/1bozxp9FwhaCNzy-RRGPVPfVYTttO4PUGDdaFvbz-Ue0/edit?gid=1870218791#gid=1870218791"", ""Rev vs Mktg &amp; Mktg Mix!D"" &amp; ROW(C33))
"),2209.0)</f>
        <v>2209</v>
      </c>
      <c r="E95" s="54">
        <f>IFERROR(__xludf.DUMMYFUNCTION("IMPORTRANGE(""https://docs.google.com/spreadsheets/d/1bozxp9FwhaCNzy-RRGPVPfVYTttO4PUGDdaFvbz-Ue0/edit?gid=1870218791#gid=1870218791"", ""Rev vs Mktg &amp; Mktg Mix!E"" &amp; ROW(E33))
"),669.0)</f>
        <v>669</v>
      </c>
      <c r="F95" s="54">
        <f>IFERROR(__xludf.DUMMYFUNCTION("IMPORTRANGE(""https://docs.google.com/spreadsheets/d/1bozxp9FwhaCNzy-RRGPVPfVYTttO4PUGDdaFvbz-Ue0/edit?gid=1870218791#gid=1870218791"", ""Rev vs Mktg &amp; Mktg Mix!F"" &amp; ROW(G33))
"),278.0)</f>
        <v>278</v>
      </c>
      <c r="G95" s="54">
        <f>IFERROR(__xludf.DUMMYFUNCTION("IMPORTRANGE(""https://docs.google.com/spreadsheets/d/1bozxp9FwhaCNzy-RRGPVPfVYTttO4PUGDdaFvbz-Ue0/edit?gid=1870218791#gid=1870218791"", ""Rev vs Mktg &amp; Mktg Mix!G"" &amp; ROW(I33))
"),139.8)</f>
        <v>139.8</v>
      </c>
      <c r="H95" s="58">
        <f>IFERROR(__xludf.DUMMYFUNCTION("IMPORTRANGE(""https://docs.google.com/spreadsheets/d/1bozxp9FwhaCNzy-RRGPVPfVYTttO4PUGDdaFvbz-Ue0/edit?gid=1870218791#gid=1870218791"", ""Rev vs Mktg &amp; Mktg Mix!H"" &amp; ROW(H33))
"),127.27000000000001)</f>
        <v>127.27</v>
      </c>
      <c r="I95" s="58">
        <f>IFERROR(__xludf.DUMMYFUNCTION("IMPORTRANGE(""https://docs.google.com/spreadsheets/d/1bozxp9FwhaCNzy-RRGPVPfVYTttO4PUGDdaFvbz-Ue0/edit?gid=1870218791#gid=1870218791"", ""Rev vs Mktg &amp; Mktg Mix!I"" &amp; ROW(K33))
"),76.1)</f>
        <v>76.1</v>
      </c>
      <c r="J95" s="58">
        <f>IFERROR(__xludf.DUMMYFUNCTION("IMPORTRANGE(""https://docs.google.com/spreadsheets/d/1bozxp9FwhaCNzy-RRGPVPfVYTttO4PUGDdaFvbz-Ue0/edit?gid=1870218791#gid=1870218791"", ""Rev vs Mktg &amp; Mktg Mix!J"" &amp; ROW(J33))
"),104.946)</f>
        <v>104.946</v>
      </c>
      <c r="K95" s="45"/>
      <c r="L95" s="58">
        <f>IFERROR(__xludf.DUMMYFUNCTION("IMPORTRANGE(""https://docs.google.com/spreadsheets/d/1bozxp9FwhaCNzy-RRGPVPfVYTttO4PUGDdaFvbz-Ue0/edit?gid=1870218791#gid=1870218791"", ""Rev vs Mktg &amp; Mktg Mix!L"" &amp; ROW(N33))
"),49.3937697162)</f>
        <v>49.39376972</v>
      </c>
      <c r="M95" s="57">
        <f>IFERROR(__xludf.DUMMYFUNCTION("IMPORTRANGE(""https://docs.google.com/spreadsheets/d/1bozxp9FwhaCNzy-RRGPVPfVYTttO4PUGDdaFvbz-Ue0/edit?gid=1870218791#gid=1870218791"", ""Rev vs Mktg &amp; Mktg Mix!M"" &amp; ROW(M33))
"),34.06787298603634)</f>
        <v>34.06787299</v>
      </c>
      <c r="N95" s="57">
        <f>IFERROR(__xludf.DUMMYFUNCTION("IMPORTRANGE(""https://docs.google.com/spreadsheets/d/1bozxp9FwhaCNzy-RRGPVPfVYTttO4PUGDdaFvbz-Ue0/edit?gid=1870218791#gid=1870218791"", ""Rev vs Mktg &amp; Mktg Mix!N"" &amp; ROW(N33))
"),5.335)</f>
        <v>5.335</v>
      </c>
      <c r="O95" s="57">
        <f>IFERROR(__xludf.DUMMYFUNCTION("IMPORTRANGE(""https://docs.google.com/spreadsheets/d/1bozxp9FwhaCNzy-RRGPVPfVYTttO4PUGDdaFvbz-Ue0/edit?gid=1870218791#gid=1870218791"", ""Rev vs Mktg &amp; Mktg Mix!O"" &amp; ROW(O33))
"),15.827499999999997)</f>
        <v>15.8275</v>
      </c>
      <c r="P95" s="43"/>
      <c r="Q95" s="57"/>
      <c r="R95" s="46"/>
      <c r="S95" s="46">
        <f>VLOOKUP(VALUE(LEFT(A95, 4)), 'Raw Annual Revenue'!A:S, 19, FALSE) / 4</f>
        <v>32231.5</v>
      </c>
      <c r="T95" s="45">
        <f>VLOOKUP(VALUE(LEFT(A98, 4)), 'Raw Annual Revenue'!A:T, 20, FALSE) / 4</f>
        <v>5648.75</v>
      </c>
      <c r="U95" s="60">
        <f>IFERROR(__xludf.DUMMYFUNCTION("IMPORTRANGE(""https://docs.google.com/spreadsheets/d/1bozxp9FwhaCNzy-RRGPVPfVYTttO4PUGDdaFvbz-Ue0/edit?gid=1870218791#gid=1870218791"", ""Rev vs Mktg &amp; Mktg Mix!u"" &amp; ROW(Z33))
"),-85.006709)</f>
        <v>-85.006709</v>
      </c>
      <c r="V95" s="43"/>
      <c r="W95" s="43"/>
      <c r="X95" s="45">
        <f>VLOOKUP(VALUE(LEFT($A97, 4)), 'Raw Annual Revenue'!$A:X, 24, FALSE) / 4
</f>
        <v>350714.75</v>
      </c>
      <c r="Y95" s="46">
        <f>VLOOKUP(VALUE(LEFT(A95, 4)), 'Raw Annual Revenue'!A:Y, 25, FALSE) / 4</f>
        <v>34439.746</v>
      </c>
      <c r="Z95" s="46">
        <f>VLOOKUP(VALUE(LEFT($A95, 4)), 'Raw Annual Revenue'!$A:Z, 26, FALSE) / 4</f>
        <v>9721</v>
      </c>
      <c r="AA95" s="46">
        <f>VLOOKUP(VALUE(LEFT($A95, 4)), 'Raw Annual Revenue'!$A:AA, 27, FALSE) / 4</f>
        <v>137360.25</v>
      </c>
      <c r="AB95" s="46">
        <f>VLOOKUP(VALUE(LEFT($A95, 4)), 'Raw Annual Revenue'!$A:AB, 28, FALSE) / 4</f>
        <v>3658.75</v>
      </c>
      <c r="AC95" s="46">
        <f>VLOOKUP(VALUE(LEFT($A95, 4)), 'Raw Annual Revenue'!$A:AC, 29, FALSE) / 4</f>
        <v>37002.75</v>
      </c>
      <c r="AD95" s="43"/>
    </row>
    <row r="96">
      <c r="A96" s="42" t="s">
        <v>123</v>
      </c>
      <c r="B96" s="54">
        <f>IFERROR(__xludf.DUMMYFUNCTION("IMPORTRANGE(""https://docs.google.com/spreadsheets/d/1bozxp9FwhaCNzy-RRGPVPfVYTttO4PUGDdaFvbz-Ue0/edit?gid=1870218791#gid=1870218791"", ""Rev vs Mktg &amp; Mktg Mix!B"" &amp; ROW(A34))
"),334.774)</f>
        <v>334.774</v>
      </c>
      <c r="C96" s="54">
        <f>IFERROR(__xludf.DUMMYFUNCTION("IMPORTRANGE(""https://docs.google.com/spreadsheets/d/1bozxp9FwhaCNzy-RRGPVPfVYTttO4PUGDdaFvbz-Ue0/edit?gid=1870218791#gid=1870218791"", ""Rev vs Mktg &amp; Mktg Mix!C"" &amp; ROW(B34))
"),630.0)</f>
        <v>630</v>
      </c>
      <c r="D96" s="54">
        <f>IFERROR(__xludf.DUMMYFUNCTION("IMPORTRANGE(""https://docs.google.com/spreadsheets/d/1bozxp9FwhaCNzy-RRGPVPfVYTttO4PUGDdaFvbz-Ue0/edit?gid=1870218791#gid=1870218791"", ""Rev vs Mktg &amp; Mktg Mix!D"" &amp; ROW(C34))
"),566.0)</f>
        <v>566</v>
      </c>
      <c r="E96" s="54">
        <f>IFERROR(__xludf.DUMMYFUNCTION("IMPORTRANGE(""https://docs.google.com/spreadsheets/d/1bozxp9FwhaCNzy-RRGPVPfVYTttO4PUGDdaFvbz-Ue0/edit?gid=1870218791#gid=1870218791"", ""Rev vs Mktg &amp; Mktg Mix!E"" &amp; ROW(E34))
"),448.0)</f>
        <v>448</v>
      </c>
      <c r="F96" s="54">
        <f>IFERROR(__xludf.DUMMYFUNCTION("IMPORTRANGE(""https://docs.google.com/spreadsheets/d/1bozxp9FwhaCNzy-RRGPVPfVYTttO4PUGDdaFvbz-Ue0/edit?gid=1870218791#gid=1870218791"", ""Rev vs Mktg &amp; Mktg Mix!F"" &amp; ROW(G34))
"),59.0)</f>
        <v>59</v>
      </c>
      <c r="G96" s="54">
        <f>IFERROR(__xludf.DUMMYFUNCTION("IMPORTRANGE(""https://docs.google.com/spreadsheets/d/1bozxp9FwhaCNzy-RRGPVPfVYTttO4PUGDdaFvbz-Ue0/edit?gid=1870218791#gid=1870218791"", ""Rev vs Mktg &amp; Mktg Mix!G"" &amp; ROW(I34))
"),16.1)</f>
        <v>16.1</v>
      </c>
      <c r="H96" s="58">
        <f>IFERROR(__xludf.DUMMYFUNCTION("IMPORTRANGE(""https://docs.google.com/spreadsheets/d/1bozxp9FwhaCNzy-RRGPVPfVYTttO4PUGDdaFvbz-Ue0/edit?gid=1870218791#gid=1870218791"", ""Rev vs Mktg &amp; Mktg Mix!H"" &amp; ROW(H34))
"),18.26)</f>
        <v>18.26</v>
      </c>
      <c r="I96" s="58">
        <f>IFERROR(__xludf.DUMMYFUNCTION("IMPORTRANGE(""https://docs.google.com/spreadsheets/d/1bozxp9FwhaCNzy-RRGPVPfVYTttO4PUGDdaFvbz-Ue0/edit?gid=1870218791#gid=1870218791"", ""Rev vs Mktg &amp; Mktg Mix!I"" &amp; ROW(K34))
"),-9.7)</f>
        <v>-9.7</v>
      </c>
      <c r="J96" s="58">
        <f>IFERROR(__xludf.DUMMYFUNCTION("IMPORTRANGE(""https://docs.google.com/spreadsheets/d/1bozxp9FwhaCNzy-RRGPVPfVYTttO4PUGDdaFvbz-Ue0/edit?gid=1870218791#gid=1870218791"", ""Rev vs Mktg &amp; Mktg Mix!J"" &amp; ROW(J34))
"),6.361)</f>
        <v>6.361</v>
      </c>
      <c r="K96" s="46">
        <f>VLOOKUP(VALUE(LEFT(A99, 4)), 'Raw Annual Revenue'!A:K, 11, FALSE) / 4</f>
        <v>4673.25</v>
      </c>
      <c r="L96" s="58">
        <f>IFERROR(__xludf.DUMMYFUNCTION("IMPORTRANGE(""https://docs.google.com/spreadsheets/d/1bozxp9FwhaCNzy-RRGPVPfVYTttO4PUGDdaFvbz-Ue0/edit?gid=1870218791#gid=1870218791"", ""Rev vs Mktg &amp; Mktg Mix!L"" &amp; ROW(N34))
"),7.024344599999999)</f>
        <v>7.0243446</v>
      </c>
      <c r="M96" s="57">
        <f>IFERROR(__xludf.DUMMYFUNCTION("IMPORTRANGE(""https://docs.google.com/spreadsheets/d/1bozxp9FwhaCNzy-RRGPVPfVYTttO4PUGDdaFvbz-Ue0/edit?gid=1870218791#gid=1870218791"", ""Rev vs Mktg &amp; Mktg Mix!M"" &amp; ROW(M34))
"),5.735623286143174)</f>
        <v>5.735623286</v>
      </c>
      <c r="N96" s="57">
        <f>IFERROR(__xludf.DUMMYFUNCTION("IMPORTRANGE(""https://docs.google.com/spreadsheets/d/1bozxp9FwhaCNzy-RRGPVPfVYTttO4PUGDdaFvbz-Ue0/edit?gid=1870218791#gid=1870218791"", ""Rev vs Mktg &amp; Mktg Mix!N"" &amp; ROW(N34))
"),0.27)</f>
        <v>0.27</v>
      </c>
      <c r="O96" s="57">
        <f>IFERROR(__xludf.DUMMYFUNCTION("IMPORTRANGE(""https://docs.google.com/spreadsheets/d/1bozxp9FwhaCNzy-RRGPVPfVYTttO4PUGDdaFvbz-Ue0/edit?gid=1870218791#gid=1870218791"", ""Rev vs Mktg &amp; Mktg Mix!O"" &amp; ROW(O34))
"),15.827499999999997)</f>
        <v>15.8275</v>
      </c>
      <c r="P96" s="43"/>
      <c r="Q96" s="57"/>
      <c r="R96" s="46"/>
      <c r="S96" s="46">
        <f>VLOOKUP(VALUE(LEFT(A96, 4)), 'Raw Annual Revenue'!A:S, 19, FALSE) / 4</f>
        <v>32231.5</v>
      </c>
      <c r="T96" s="45">
        <f>VLOOKUP(VALUE(LEFT(A99, 4)), 'Raw Annual Revenue'!A:T, 20, FALSE) / 4</f>
        <v>4755.25</v>
      </c>
      <c r="U96" s="60">
        <f>IFERROR(__xludf.DUMMYFUNCTION("IMPORTRANGE(""https://docs.google.com/spreadsheets/d/1bozxp9FwhaCNzy-RRGPVPfVYTttO4PUGDdaFvbz-Ue0/edit?gid=1870218791#gid=1870218791"", ""Rev vs Mktg &amp; Mktg Mix!u"" &amp; ROW(Z34))
"),2.542)</f>
        <v>2.542</v>
      </c>
      <c r="V96" s="43"/>
      <c r="W96" s="43"/>
      <c r="X96" s="45">
        <f>VLOOKUP(VALUE(LEFT($A98, 4)), 'Raw Annual Revenue'!$A:X, 24, FALSE) / 4
</f>
        <v>350714.75</v>
      </c>
      <c r="Y96" s="46">
        <f>VLOOKUP(VALUE(LEFT(A96, 4)), 'Raw Annual Revenue'!A:Y, 25, FALSE) / 4</f>
        <v>34439.746</v>
      </c>
      <c r="Z96" s="46">
        <f>VLOOKUP(VALUE(LEFT($A96, 4)), 'Raw Annual Revenue'!$A:Z, 26, FALSE) / 4</f>
        <v>9721</v>
      </c>
      <c r="AA96" s="46">
        <f>VLOOKUP(VALUE(LEFT($A96, 4)), 'Raw Annual Revenue'!$A:AA, 27, FALSE) / 4</f>
        <v>137360.25</v>
      </c>
      <c r="AB96" s="46">
        <f>VLOOKUP(VALUE(LEFT($A96, 4)), 'Raw Annual Revenue'!$A:AB, 28, FALSE) / 4</f>
        <v>3658.75</v>
      </c>
      <c r="AC96" s="46">
        <f>VLOOKUP(VALUE(LEFT($A96, 4)), 'Raw Annual Revenue'!$A:AC, 29, FALSE) / 4</f>
        <v>37002.75</v>
      </c>
      <c r="AD96" s="43"/>
    </row>
    <row r="97">
      <c r="A97" s="42" t="s">
        <v>124</v>
      </c>
      <c r="B97" s="54">
        <f>IFERROR(__xludf.DUMMYFUNCTION("IMPORTRANGE(""https://docs.google.com/spreadsheets/d/1bozxp9FwhaCNzy-RRGPVPfVYTttO4PUGDdaFvbz-Ue0/edit?gid=1870218791#gid=1870218791"", ""Rev vs Mktg &amp; Mktg Mix!B"" &amp; ROW(A35))
"),1342.0)</f>
        <v>1342</v>
      </c>
      <c r="C97" s="54">
        <f>IFERROR(__xludf.DUMMYFUNCTION("IMPORTRANGE(""https://docs.google.com/spreadsheets/d/1bozxp9FwhaCNzy-RRGPVPfVYTttO4PUGDdaFvbz-Ue0/edit?gid=1870218791#gid=1870218791"", ""Rev vs Mktg &amp; Mktg Mix!C"" &amp; ROW(B35))
"),2640.0)</f>
        <v>2640</v>
      </c>
      <c r="D97" s="54">
        <f>IFERROR(__xludf.DUMMYFUNCTION("IMPORTRANGE(""https://docs.google.com/spreadsheets/d/1bozxp9FwhaCNzy-RRGPVPfVYTttO4PUGDdaFvbz-Ue0/edit?gid=1870218791#gid=1870218791"", ""Rev vs Mktg &amp; Mktg Mix!D"" &amp; ROW(C35))
"),1504.0)</f>
        <v>1504</v>
      </c>
      <c r="E97" s="54">
        <f>IFERROR(__xludf.DUMMYFUNCTION("IMPORTRANGE(""https://docs.google.com/spreadsheets/d/1bozxp9FwhaCNzy-RRGPVPfVYTttO4PUGDdaFvbz-Ue0/edit?gid=1870218791#gid=1870218791"", ""Rev vs Mktg &amp; Mktg Mix!E"" &amp; ROW(E35))
"),805.0)</f>
        <v>805</v>
      </c>
      <c r="F97" s="54">
        <f>IFERROR(__xludf.DUMMYFUNCTION("IMPORTRANGE(""https://docs.google.com/spreadsheets/d/1bozxp9FwhaCNzy-RRGPVPfVYTttO4PUGDdaFvbz-Ue0/edit?gid=1870218791#gid=1870218791"", ""Rev vs Mktg &amp; Mktg Mix!F"" &amp; ROW(G35))
"),151.0)</f>
        <v>151</v>
      </c>
      <c r="G97" s="54">
        <f>IFERROR(__xludf.DUMMYFUNCTION("IMPORTRANGE(""https://docs.google.com/spreadsheets/d/1bozxp9FwhaCNzy-RRGPVPfVYTttO4PUGDdaFvbz-Ue0/edit?gid=1870218791#gid=1870218791"", ""Rev vs Mktg &amp; Mktg Mix!G"" &amp; ROW(I35))
"),60.6)</f>
        <v>60.6</v>
      </c>
      <c r="H97" s="58">
        <f>IFERROR(__xludf.DUMMYFUNCTION("IMPORTRANGE(""https://docs.google.com/spreadsheets/d/1bozxp9FwhaCNzy-RRGPVPfVYTttO4PUGDdaFvbz-Ue0/edit?gid=1870218791#gid=1870218791"", ""Rev vs Mktg &amp; Mktg Mix!H"" &amp; ROW(H35))
"),37.84)</f>
        <v>37.84</v>
      </c>
      <c r="I97" s="58">
        <f>IFERROR(__xludf.DUMMYFUNCTION("IMPORTRANGE(""https://docs.google.com/spreadsheets/d/1bozxp9FwhaCNzy-RRGPVPfVYTttO4PUGDdaFvbz-Ue0/edit?gid=1870218791#gid=1870218791"", ""Rev vs Mktg &amp; Mktg Mix!I"" &amp; ROW(K35))
"),11.7)</f>
        <v>11.7</v>
      </c>
      <c r="J97" s="58">
        <f>IFERROR(__xludf.DUMMYFUNCTION("IMPORTRANGE(""https://docs.google.com/spreadsheets/d/1bozxp9FwhaCNzy-RRGPVPfVYTttO4PUGDdaFvbz-Ue0/edit?gid=1870218791#gid=1870218791"", ""Rev vs Mktg &amp; Mktg Mix!J"" &amp; ROW(J35))
"),23.038999999999998)</f>
        <v>23.039</v>
      </c>
      <c r="K97" s="46">
        <f>VLOOKUP(VALUE(LEFT(A100, 4)), 'Raw Annual Revenue'!A:K, 11, FALSE) / 4</f>
        <v>4673.25</v>
      </c>
      <c r="L97" s="58">
        <f>IFERROR(__xludf.DUMMYFUNCTION("IMPORTRANGE(""https://docs.google.com/spreadsheets/d/1bozxp9FwhaCNzy-RRGPVPfVYTttO4PUGDdaFvbz-Ue0/edit?gid=1870218791#gid=1870218791"", ""Rev vs Mktg &amp; Mktg Mix!L"" &amp; ROW(N35))
"),8.0420718)</f>
        <v>8.0420718</v>
      </c>
      <c r="M97" s="57">
        <f>IFERROR(__xludf.DUMMYFUNCTION("IMPORTRANGE(""https://docs.google.com/spreadsheets/d/1bozxp9FwhaCNzy-RRGPVPfVYTttO4PUGDdaFvbz-Ue0/edit?gid=1870218791#gid=1870218791"", ""Rev vs Mktg &amp; Mktg Mix!M"" &amp; ROW(M35))
"),12.191802261500316)</f>
        <v>12.19180226</v>
      </c>
      <c r="N97" s="57">
        <f>IFERROR(__xludf.DUMMYFUNCTION("IMPORTRANGE(""https://docs.google.com/spreadsheets/d/1bozxp9FwhaCNzy-RRGPVPfVYTttO4PUGDdaFvbz-Ue0/edit?gid=1870218791#gid=1870218791"", ""Rev vs Mktg &amp; Mktg Mix!N"" &amp; ROW(N35))
"),0.921)</f>
        <v>0.921</v>
      </c>
      <c r="O97" s="57">
        <f>IFERROR(__xludf.DUMMYFUNCTION("IMPORTRANGE(""https://docs.google.com/spreadsheets/d/1bozxp9FwhaCNzy-RRGPVPfVYTttO4PUGDdaFvbz-Ue0/edit?gid=1870218791#gid=1870218791"", ""Rev vs Mktg &amp; Mktg Mix!O"" &amp; ROW(O35))
"),7.4425)</f>
        <v>7.4425</v>
      </c>
      <c r="P97" s="43"/>
      <c r="Q97" s="57"/>
      <c r="R97" s="46"/>
      <c r="S97" s="46">
        <f>VLOOKUP(VALUE(LEFT(A97, 4)), 'Raw Annual Revenue'!A:S, 19, FALSE) / 4</f>
        <v>32231.5</v>
      </c>
      <c r="T97" s="45">
        <f>VLOOKUP(VALUE(LEFT(A100, 4)), 'Raw Annual Revenue'!A:T, 20, FALSE) / 4</f>
        <v>4755.25</v>
      </c>
      <c r="U97" s="60">
        <f>IFERROR(__xludf.DUMMYFUNCTION("IMPORTRANGE(""https://docs.google.com/spreadsheets/d/1bozxp9FwhaCNzy-RRGPVPfVYTttO4PUGDdaFvbz-Ue0/edit?gid=1870218791#gid=1870218791"", ""Rev vs Mktg &amp; Mktg Mix!u"" &amp; ROW(Z35))
"),3.58)</f>
        <v>3.58</v>
      </c>
      <c r="V97" s="43"/>
      <c r="W97" s="43"/>
      <c r="X97" s="45">
        <f>VLOOKUP(VALUE(LEFT($A99, 4)), 'Raw Annual Revenue'!$A:X, 24, FALSE) / 4
</f>
        <v>118636.5</v>
      </c>
      <c r="Y97" s="46">
        <f>VLOOKUP(VALUE(LEFT(A97, 4)), 'Raw Annual Revenue'!A:Y, 25, FALSE) / 4</f>
        <v>34439.746</v>
      </c>
      <c r="Z97" s="46">
        <f>VLOOKUP(VALUE(LEFT($A97, 4)), 'Raw Annual Revenue'!$A:Z, 26, FALSE) / 4</f>
        <v>9721</v>
      </c>
      <c r="AA97" s="46">
        <f>VLOOKUP(VALUE(LEFT($A97, 4)), 'Raw Annual Revenue'!$A:AA, 27, FALSE) / 4</f>
        <v>137360.25</v>
      </c>
      <c r="AB97" s="46">
        <f>VLOOKUP(VALUE(LEFT($A97, 4)), 'Raw Annual Revenue'!$A:AB, 28, FALSE) / 4</f>
        <v>3658.75</v>
      </c>
      <c r="AC97" s="46">
        <f>VLOOKUP(VALUE(LEFT($A97, 4)), 'Raw Annual Revenue'!$A:AC, 29, FALSE) / 4</f>
        <v>37002.75</v>
      </c>
      <c r="AD97" s="43"/>
    </row>
    <row r="98">
      <c r="A98" s="42" t="s">
        <v>125</v>
      </c>
      <c r="B98" s="54">
        <f>IFERROR(__xludf.DUMMYFUNCTION("IMPORTRANGE(""https://docs.google.com/spreadsheets/d/1bozxp9FwhaCNzy-RRGPVPfVYTttO4PUGDdaFvbz-Ue0/edit?gid=1870218791#gid=1870218791"", ""Rev vs Mktg &amp; Mktg Mix!B"" &amp; ROW(A36))
"),859.0)</f>
        <v>859</v>
      </c>
      <c r="C98" s="54">
        <f>IFERROR(__xludf.DUMMYFUNCTION("IMPORTRANGE(""https://docs.google.com/spreadsheets/d/1bozxp9FwhaCNzy-RRGPVPfVYTttO4PUGDdaFvbz-Ue0/edit?gid=1870218791#gid=1870218791"", ""Rev vs Mktg &amp; Mktg Mix!C"" &amp; ROW(B36))
"),1238.0)</f>
        <v>1238</v>
      </c>
      <c r="D98" s="54">
        <f>IFERROR(__xludf.DUMMYFUNCTION("IMPORTRANGE(""https://docs.google.com/spreadsheets/d/1bozxp9FwhaCNzy-RRGPVPfVYTttO4PUGDdaFvbz-Ue0/edit?gid=1870218791#gid=1870218791"", ""Rev vs Mktg &amp; Mktg Mix!D"" &amp; ROW(C36))
"),920.0)</f>
        <v>920</v>
      </c>
      <c r="E98" s="54">
        <f>IFERROR(__xludf.DUMMYFUNCTION("IMPORTRANGE(""https://docs.google.com/spreadsheets/d/1bozxp9FwhaCNzy-RRGPVPfVYTttO4PUGDdaFvbz-Ue0/edit?gid=1870218791#gid=1870218791"", ""Rev vs Mktg &amp; Mktg Mix!E"" &amp; ROW(E36))
"),761.0)</f>
        <v>761</v>
      </c>
      <c r="F98" s="54">
        <f>IFERROR(__xludf.DUMMYFUNCTION("IMPORTRANGE(""https://docs.google.com/spreadsheets/d/1bozxp9FwhaCNzy-RRGPVPfVYTttO4PUGDdaFvbz-Ue0/edit?gid=1870218791#gid=1870218791"", ""Rev vs Mktg &amp; Mktg Mix!F"" &amp; ROW(G36))
"),116.0)</f>
        <v>116</v>
      </c>
      <c r="G98" s="54">
        <f>IFERROR(__xludf.DUMMYFUNCTION("IMPORTRANGE(""https://docs.google.com/spreadsheets/d/1bozxp9FwhaCNzy-RRGPVPfVYTttO4PUGDdaFvbz-Ue0/edit?gid=1870218791#gid=1870218791"", ""Rev vs Mktg &amp; Mktg Mix!G"" &amp; ROW(I36))
"),32.3)</f>
        <v>32.3</v>
      </c>
      <c r="H98" s="58">
        <f>IFERROR(__xludf.DUMMYFUNCTION("IMPORTRANGE(""https://docs.google.com/spreadsheets/d/1bozxp9FwhaCNzy-RRGPVPfVYTttO4PUGDdaFvbz-Ue0/edit?gid=1870218791#gid=1870218791"", ""Rev vs Mktg &amp; Mktg Mix!H"" &amp; ROW(H36))
"),33.0)</f>
        <v>33</v>
      </c>
      <c r="I98" s="58">
        <f>IFERROR(__xludf.DUMMYFUNCTION("IMPORTRANGE(""https://docs.google.com/spreadsheets/d/1bozxp9FwhaCNzy-RRGPVPfVYTttO4PUGDdaFvbz-Ue0/edit?gid=1870218791#gid=1870218791"", ""Rev vs Mktg &amp; Mktg Mix!I"" &amp; ROW(K36))
"),53.246)</f>
        <v>53.246</v>
      </c>
      <c r="J98" s="58">
        <f>IFERROR(__xludf.DUMMYFUNCTION("IMPORTRANGE(""https://docs.google.com/spreadsheets/d/1bozxp9FwhaCNzy-RRGPVPfVYTttO4PUGDdaFvbz-Ue0/edit?gid=1870218791#gid=1870218791"", ""Rev vs Mktg &amp; Mktg Mix!J"" &amp; ROW(J36))
"),56.806)</f>
        <v>56.806</v>
      </c>
      <c r="K98" s="46">
        <f>VLOOKUP(VALUE(LEFT(A101, 4)), 'Raw Annual Revenue'!A:K, 11, FALSE) / 4</f>
        <v>4673.25</v>
      </c>
      <c r="L98" s="58">
        <f>IFERROR(__xludf.DUMMYFUNCTION("IMPORTRANGE(""https://docs.google.com/spreadsheets/d/1bozxp9FwhaCNzy-RRGPVPfVYTttO4PUGDdaFvbz-Ue0/edit?gid=1870218791#gid=1870218791"", ""Rev vs Mktg &amp; Mktg Mix!L"" &amp; ROW(N36))
"),17.4055124838)</f>
        <v>17.40551248</v>
      </c>
      <c r="M98" s="57">
        <f>IFERROR(__xludf.DUMMYFUNCTION("IMPORTRANGE(""https://docs.google.com/spreadsheets/d/1bozxp9FwhaCNzy-RRGPVPfVYTttO4PUGDdaFvbz-Ue0/edit?gid=1870218791#gid=1870218791"", ""Rev vs Mktg &amp; Mktg Mix!M"" &amp; ROW(M36))
"),17.840958864937814)</f>
        <v>17.84095886</v>
      </c>
      <c r="N98" s="57">
        <f>IFERROR(__xludf.DUMMYFUNCTION("IMPORTRANGE(""https://docs.google.com/spreadsheets/d/1bozxp9FwhaCNzy-RRGPVPfVYTttO4PUGDdaFvbz-Ue0/edit?gid=1870218791#gid=1870218791"", ""Rev vs Mktg &amp; Mktg Mix!N"" &amp; ROW(N36))
"),1.671)</f>
        <v>1.671</v>
      </c>
      <c r="O98" s="57">
        <f>IFERROR(__xludf.DUMMYFUNCTION("IMPORTRANGE(""https://docs.google.com/spreadsheets/d/1bozxp9FwhaCNzy-RRGPVPfVYTttO4PUGDdaFvbz-Ue0/edit?gid=1870218791#gid=1870218791"", ""Rev vs Mktg &amp; Mktg Mix!O"" &amp; ROW(O36))
"),7.4425)</f>
        <v>7.4425</v>
      </c>
      <c r="P98" s="43"/>
      <c r="Q98" s="57"/>
      <c r="R98" s="46"/>
      <c r="S98" s="46">
        <f>VLOOKUP(VALUE(LEFT(A98, 4)), 'Raw Annual Revenue'!A:S, 19, FALSE) / 4</f>
        <v>32231.5</v>
      </c>
      <c r="T98" s="45">
        <f>VLOOKUP(VALUE(LEFT(A101, 4)), 'Raw Annual Revenue'!A:T, 20, FALSE) / 4</f>
        <v>4755.25</v>
      </c>
      <c r="U98" s="60">
        <f>IFERROR(__xludf.DUMMYFUNCTION("IMPORTRANGE(""https://docs.google.com/spreadsheets/d/1bozxp9FwhaCNzy-RRGPVPfVYTttO4PUGDdaFvbz-Ue0/edit?gid=1870218791#gid=1870218791"", ""Rev vs Mktg &amp; Mktg Mix!u"" &amp; ROW(Z36))
"),4.234)</f>
        <v>4.234</v>
      </c>
      <c r="V98" s="43"/>
      <c r="W98" s="43"/>
      <c r="X98" s="45">
        <f>VLOOKUP(VALUE(LEFT($A100, 4)), 'Raw Annual Revenue'!$A:X, 24, FALSE) / 4
</f>
        <v>118636.5</v>
      </c>
      <c r="Y98" s="46">
        <f>VLOOKUP(VALUE(LEFT(A98, 4)), 'Raw Annual Revenue'!A:Y, 25, FALSE) / 4</f>
        <v>34439.746</v>
      </c>
      <c r="Z98" s="46">
        <f>VLOOKUP(VALUE(LEFT($A98, 4)), 'Raw Annual Revenue'!$A:Z, 26, FALSE) / 4</f>
        <v>9721</v>
      </c>
      <c r="AA98" s="46">
        <f>VLOOKUP(VALUE(LEFT($A98, 4)), 'Raw Annual Revenue'!$A:AA, 27, FALSE) / 4</f>
        <v>137360.25</v>
      </c>
      <c r="AB98" s="46">
        <f>VLOOKUP(VALUE(LEFT($A98, 4)), 'Raw Annual Revenue'!$A:AB, 28, FALSE) / 4</f>
        <v>3658.75</v>
      </c>
      <c r="AC98" s="46">
        <f>VLOOKUP(VALUE(LEFT($A98, 4)), 'Raw Annual Revenue'!$A:AC, 29, FALSE) / 4</f>
        <v>37002.75</v>
      </c>
      <c r="AD98" s="43"/>
    </row>
    <row r="99">
      <c r="A99" s="42" t="s">
        <v>126</v>
      </c>
      <c r="B99" s="54">
        <f>IFERROR(__xludf.DUMMYFUNCTION("IMPORTRANGE(""https://docs.google.com/spreadsheets/d/1bozxp9FwhaCNzy-RRGPVPfVYTttO4PUGDdaFvbz-Ue0/edit?gid=1870218791#gid=1870218791"", ""Rev vs Mktg &amp; Mktg Mix!B"" &amp; ROW(A37))
"),886.936)</f>
        <v>886.936</v>
      </c>
      <c r="C99" s="54">
        <f>IFERROR(__xludf.DUMMYFUNCTION("IMPORTRANGE(""https://docs.google.com/spreadsheets/d/1bozxp9FwhaCNzy-RRGPVPfVYTttO4PUGDdaFvbz-Ue0/edit?gid=1870218791#gid=1870218791"", ""Rev vs Mktg &amp; Mktg Mix!C"" &amp; ROW(B37))
"),1141.0)</f>
        <v>1141</v>
      </c>
      <c r="D99" s="54">
        <f>IFERROR(__xludf.DUMMYFUNCTION("IMPORTRANGE(""https://docs.google.com/spreadsheets/d/1bozxp9FwhaCNzy-RRGPVPfVYTttO4PUGDdaFvbz-Ue0/edit?gid=1870218791#gid=1870218791"", ""Rev vs Mktg &amp; Mktg Mix!D"" &amp; ROW(C37))
"),1246.0)</f>
        <v>1246</v>
      </c>
      <c r="E99" s="54">
        <f>IFERROR(__xludf.DUMMYFUNCTION("IMPORTRANGE(""https://docs.google.com/spreadsheets/d/1bozxp9FwhaCNzy-RRGPVPfVYTttO4PUGDdaFvbz-Ue0/edit?gid=1870218791#gid=1870218791"", ""Rev vs Mktg &amp; Mktg Mix!E"" &amp; ROW(E37))
"),628.0)</f>
        <v>628</v>
      </c>
      <c r="F99" s="54">
        <f>IFERROR(__xludf.DUMMYFUNCTION("IMPORTRANGE(""https://docs.google.com/spreadsheets/d/1bozxp9FwhaCNzy-RRGPVPfVYTttO4PUGDdaFvbz-Ue0/edit?gid=1870218791#gid=1870218791"", ""Rev vs Mktg &amp; Mktg Mix!F"" &amp; ROW(G37))
"),123.0)</f>
        <v>123</v>
      </c>
      <c r="G99" s="54">
        <f>IFERROR(__xludf.DUMMYFUNCTION("IMPORTRANGE(""https://docs.google.com/spreadsheets/d/1bozxp9FwhaCNzy-RRGPVPfVYTttO4PUGDdaFvbz-Ue0/edit?gid=1870218791#gid=1870218791"", ""Rev vs Mktg &amp; Mktg Mix!G"" &amp; ROW(I37))
"),38.2)</f>
        <v>38.2</v>
      </c>
      <c r="H99" s="58">
        <f>IFERROR(__xludf.DUMMYFUNCTION("IMPORTRANGE(""https://docs.google.com/spreadsheets/d/1bozxp9FwhaCNzy-RRGPVPfVYTttO4PUGDdaFvbz-Ue0/edit?gid=1870218791#gid=1870218791"", ""Rev vs Mktg &amp; Mktg Mix!H"" &amp; ROW(H37))
"),33.11000000000001)</f>
        <v>33.11</v>
      </c>
      <c r="I99" s="58">
        <f>IFERROR(__xludf.DUMMYFUNCTION("IMPORTRANGE(""https://docs.google.com/spreadsheets/d/1bozxp9FwhaCNzy-RRGPVPfVYTttO4PUGDdaFvbz-Ue0/edit?gid=1870218791#gid=1870218791"", ""Rev vs Mktg &amp; Mktg Mix!I"" &amp; ROW(K37))
"),51.85)</f>
        <v>51.85</v>
      </c>
      <c r="J99" s="58">
        <f>IFERROR(__xludf.DUMMYFUNCTION("IMPORTRANGE(""https://docs.google.com/spreadsheets/d/1bozxp9FwhaCNzy-RRGPVPfVYTttO4PUGDdaFvbz-Ue0/edit?gid=1870218791#gid=1870218791"", ""Rev vs Mktg &amp; Mktg Mix!J"" &amp; ROW(J37))
"),79.221)</f>
        <v>79.221</v>
      </c>
      <c r="K99" s="46">
        <f>VLOOKUP(VALUE(LEFT(A102, 4)), 'Raw Annual Revenue'!A:K, 11, FALSE) / 4</f>
        <v>4673.25</v>
      </c>
      <c r="L99" s="58">
        <f>IFERROR(__xludf.DUMMYFUNCTION("IMPORTRANGE(""https://docs.google.com/spreadsheets/d/1bozxp9FwhaCNzy-RRGPVPfVYTttO4PUGDdaFvbz-Ue0/edit?gid=1870218791#gid=1870218791"", ""Rev vs Mktg &amp; Mktg Mix!L"" &amp; ROW(N37))
"),15.6171519)</f>
        <v>15.6171519</v>
      </c>
      <c r="M99" s="57">
        <f>IFERROR(__xludf.DUMMYFUNCTION("IMPORTRANGE(""https://docs.google.com/spreadsheets/d/1bozxp9FwhaCNzy-RRGPVPfVYTttO4PUGDdaFvbz-Ue0/edit?gid=1870218791#gid=1870218791"", ""Rev vs Mktg &amp; Mktg Mix!M"" &amp; ROW(M37))
"),20.262025980696745)</f>
        <v>20.26202598</v>
      </c>
      <c r="N99" s="57">
        <f>IFERROR(__xludf.DUMMYFUNCTION("IMPORTRANGE(""https://docs.google.com/spreadsheets/d/1bozxp9FwhaCNzy-RRGPVPfVYTttO4PUGDdaFvbz-Ue0/edit?gid=1870218791#gid=1870218791"", ""Rev vs Mktg &amp; Mktg Mix!N"" &amp; ROW(N37))
"),1.655)</f>
        <v>1.655</v>
      </c>
      <c r="O99" s="57">
        <f>IFERROR(__xludf.DUMMYFUNCTION("IMPORTRANGE(""https://docs.google.com/spreadsheets/d/1bozxp9FwhaCNzy-RRGPVPfVYTttO4PUGDdaFvbz-Ue0/edit?gid=1870218791#gid=1870218791"", ""Rev vs Mktg &amp; Mktg Mix!O"" &amp; ROW(O37))
"),5.135000000000002)</f>
        <v>5.135</v>
      </c>
      <c r="P99" s="53">
        <f>IFERROR(__xludf.DUMMYFUNCTION("IMPORTRANGE(""https://docs.google.com/spreadsheets/d/1bozxp9FwhaCNzy-RRGPVPfVYTttO4PUGDdaFvbz-Ue0/edit?gid=1870218791#gid=1870218791"", ""Rev vs Mktg &amp; Mktg Mix!P"" &amp; ROW(P37))
"),7.41)</f>
        <v>7.41</v>
      </c>
      <c r="Q99" s="57"/>
      <c r="R99" s="46"/>
      <c r="S99" s="46">
        <f>VLOOKUP(VALUE(LEFT(A99, 4)), 'Raw Annual Revenue'!A:S, 19, FALSE) / 4</f>
        <v>46606</v>
      </c>
      <c r="T99" s="45">
        <f>VLOOKUP(VALUE(LEFT(A102, 4)), 'Raw Annual Revenue'!A:T, 20, FALSE) / 4</f>
        <v>4755.25</v>
      </c>
      <c r="U99" s="60">
        <f>IFERROR(__xludf.DUMMYFUNCTION("IMPORTRANGE(""https://docs.google.com/spreadsheets/d/1bozxp9FwhaCNzy-RRGPVPfVYTttO4PUGDdaFvbz-Ue0/edit?gid=1870218791#gid=1870218791"", ""Rev vs Mktg &amp; Mktg Mix!u"" &amp; ROW(Z37))
"),6.93)</f>
        <v>6.93</v>
      </c>
      <c r="V99" s="43"/>
      <c r="W99" s="43"/>
      <c r="X99" s="45">
        <f>VLOOKUP(VALUE(LEFT($A101, 4)), 'Raw Annual Revenue'!$A:X, 24, FALSE) / 4
</f>
        <v>118636.5</v>
      </c>
      <c r="Y99" s="46">
        <f>VLOOKUP(VALUE(LEFT(A99, 4)), 'Raw Annual Revenue'!A:Y, 25, FALSE) / 4</f>
        <v>38294.2887</v>
      </c>
      <c r="Z99" s="46">
        <f>VLOOKUP(VALUE(LEFT($A99, 4)), 'Raw Annual Revenue'!$A:Z, 26, FALSE) / 4</f>
        <v>12928.5</v>
      </c>
      <c r="AA99" s="46">
        <f>VLOOKUP(VALUE(LEFT($A99, 4)), 'Raw Annual Revenue'!$A:AA, 27, FALSE) / 4</f>
        <v>194090.5</v>
      </c>
      <c r="AB99" s="46">
        <f>VLOOKUP(VALUE(LEFT($A99, 4)), 'Raw Annual Revenue'!$A:AB, 28, FALSE) / 4</f>
        <v>3825.75</v>
      </c>
      <c r="AC99" s="46">
        <f>VLOOKUP(VALUE(LEFT($A99, 4)), 'Raw Annual Revenue'!$A:AC, 29, FALSE) / 4</f>
        <v>32912</v>
      </c>
      <c r="AD99" s="43"/>
    </row>
    <row r="100">
      <c r="A100" s="42" t="s">
        <v>127</v>
      </c>
      <c r="B100" s="54">
        <f>IFERROR(__xludf.DUMMYFUNCTION("IMPORTRANGE(""https://docs.google.com/spreadsheets/d/1bozxp9FwhaCNzy-RRGPVPfVYTttO4PUGDdaFvbz-Ue0/edit?gid=1870218791#gid=1870218791"", ""Rev vs Mktg &amp; Mktg Mix!B"" &amp; ROW(A38))
"),1335.196)</f>
        <v>1335.196</v>
      </c>
      <c r="C100" s="54">
        <f>IFERROR(__xludf.DUMMYFUNCTION("IMPORTRANGE(""https://docs.google.com/spreadsheets/d/1bozxp9FwhaCNzy-RRGPVPfVYTttO4PUGDdaFvbz-Ue0/edit?gid=1870218791#gid=1870218791"", ""Rev vs Mktg &amp; Mktg Mix!C"" &amp; ROW(B38))
"),2160.0)</f>
        <v>2160</v>
      </c>
      <c r="D100" s="54">
        <f>IFERROR(__xludf.DUMMYFUNCTION("IMPORTRANGE(""https://docs.google.com/spreadsheets/d/1bozxp9FwhaCNzy-RRGPVPfVYTttO4PUGDdaFvbz-Ue0/edit?gid=1870218791#gid=1870218791"", ""Rev vs Mktg &amp; Mktg Mix!D"" &amp; ROW(C38))
"),2111.0)</f>
        <v>2111</v>
      </c>
      <c r="E100" s="54">
        <f>IFERROR(__xludf.DUMMYFUNCTION("IMPORTRANGE(""https://docs.google.com/spreadsheets/d/1bozxp9FwhaCNzy-RRGPVPfVYTttO4PUGDdaFvbz-Ue0/edit?gid=1870218791#gid=1870218791"", ""Rev vs Mktg &amp; Mktg Mix!E"" &amp; ROW(E38))
"),912.0)</f>
        <v>912</v>
      </c>
      <c r="F100" s="54">
        <f>IFERROR(__xludf.DUMMYFUNCTION("IMPORTRANGE(""https://docs.google.com/spreadsheets/d/1bozxp9FwhaCNzy-RRGPVPfVYTttO4PUGDdaFvbz-Ue0/edit?gid=1870218791#gid=1870218791"", ""Rev vs Mktg &amp; Mktg Mix!F"" &amp; ROW(G38))
"),235.0)</f>
        <v>235</v>
      </c>
      <c r="G100" s="54">
        <f>IFERROR(__xludf.DUMMYFUNCTION("IMPORTRANGE(""https://docs.google.com/spreadsheets/d/1bozxp9FwhaCNzy-RRGPVPfVYTttO4PUGDdaFvbz-Ue0/edit?gid=1870218791#gid=1870218791"", ""Rev vs Mktg &amp; Mktg Mix!G"" &amp; ROW(I38))
"),95.474)</f>
        <v>95.474</v>
      </c>
      <c r="H100" s="58">
        <f>IFERROR(__xludf.DUMMYFUNCTION("IMPORTRANGE(""https://docs.google.com/spreadsheets/d/1bozxp9FwhaCNzy-RRGPVPfVYTttO4PUGDdaFvbz-Ue0/edit?gid=1870218791#gid=1870218791"", ""Rev vs Mktg &amp; Mktg Mix!H"" &amp; ROW(H38))
"),75.24000000000001)</f>
        <v>75.24</v>
      </c>
      <c r="I100" s="58">
        <f>IFERROR(__xludf.DUMMYFUNCTION("IMPORTRANGE(""https://docs.google.com/spreadsheets/d/1bozxp9FwhaCNzy-RRGPVPfVYTttO4PUGDdaFvbz-Ue0/edit?gid=1870218791#gid=1870218791"", ""Rev vs Mktg &amp; Mktg Mix!I"" &amp; ROW(K38))
"),63.069)</f>
        <v>63.069</v>
      </c>
      <c r="J100" s="58">
        <f>IFERROR(__xludf.DUMMYFUNCTION("IMPORTRANGE(""https://docs.google.com/spreadsheets/d/1bozxp9FwhaCNzy-RRGPVPfVYTttO4PUGDdaFvbz-Ue0/edit?gid=1870218791#gid=1870218791"", ""Rev vs Mktg &amp; Mktg Mix!J"" &amp; ROW(J38))
"),32.833)</f>
        <v>32.833</v>
      </c>
      <c r="K100" s="46">
        <f>VLOOKUP(VALUE(LEFT(A103, 4)), 'Raw Annual Revenue'!A:K, 11, FALSE) / 4</f>
        <v>12553.25</v>
      </c>
      <c r="L100" s="58">
        <f>IFERROR(__xludf.DUMMYFUNCTION("IMPORTRANGE(""https://docs.google.com/spreadsheets/d/1bozxp9FwhaCNzy-RRGPVPfVYTttO4PUGDdaFvbz-Ue0/edit?gid=1870218791#gid=1870218791"", ""Rev vs Mktg &amp; Mktg Mix!L"" &amp; ROW(N38))
"),46.5334151499)</f>
        <v>46.53341515</v>
      </c>
      <c r="M100" s="57">
        <f>IFERROR(__xludf.DUMMYFUNCTION("IMPORTRANGE(""https://docs.google.com/spreadsheets/d/1bozxp9FwhaCNzy-RRGPVPfVYTttO4PUGDdaFvbz-Ue0/edit?gid=1870218791#gid=1870218791"", ""Rev vs Mktg &amp; Mktg Mix!M"" &amp; ROW(M38))
"),23.74951551649234)</f>
        <v>23.74951552</v>
      </c>
      <c r="N100" s="57">
        <f>IFERROR(__xludf.DUMMYFUNCTION("IMPORTRANGE(""https://docs.google.com/spreadsheets/d/1bozxp9FwhaCNzy-RRGPVPfVYTttO4PUGDdaFvbz-Ue0/edit?gid=1870218791#gid=1870218791"", ""Rev vs Mktg &amp; Mktg Mix!N"" &amp; ROW(N38))
"),2.132)</f>
        <v>2.132</v>
      </c>
      <c r="O100" s="57">
        <f>IFERROR(__xludf.DUMMYFUNCTION("IMPORTRANGE(""https://docs.google.com/spreadsheets/d/1bozxp9FwhaCNzy-RRGPVPfVYTttO4PUGDdaFvbz-Ue0/edit?gid=1870218791#gid=1870218791"", ""Rev vs Mktg &amp; Mktg Mix!O"" &amp; ROW(O38))
"),18.102500000000003)</f>
        <v>18.1025</v>
      </c>
      <c r="P100" s="57">
        <f>IFERROR(__xludf.DUMMYFUNCTION("IMPORTRANGE(""https://docs.google.com/spreadsheets/d/1bozxp9FwhaCNzy-RRGPVPfVYTttO4PUGDdaFvbz-Ue0/edit?gid=1870218791#gid=1870218791"", ""Rev vs Mktg &amp; Mktg Mix!P"" &amp; ROW(P38))
"),7.41)</f>
        <v>7.41</v>
      </c>
      <c r="Q100" s="57"/>
      <c r="R100" s="46"/>
      <c r="S100" s="46">
        <f>VLOOKUP(VALUE(LEFT(A100, 4)), 'Raw Annual Revenue'!A:S, 19, FALSE) / 4</f>
        <v>46606</v>
      </c>
      <c r="T100" s="45">
        <f>VLOOKUP(VALUE(LEFT(A103, 4)), 'Raw Annual Revenue'!A:T, 20, FALSE) / 4</f>
        <v>7847</v>
      </c>
      <c r="U100" s="60">
        <f>IFERROR(__xludf.DUMMYFUNCTION("IMPORTRANGE(""https://docs.google.com/spreadsheets/d/1bozxp9FwhaCNzy-RRGPVPfVYTttO4PUGDdaFvbz-Ue0/edit?gid=1870218791#gid=1870218791"", ""Rev vs Mktg &amp; Mktg Mix!u"" &amp; ROW(Z38))
"),4.129)</f>
        <v>4.129</v>
      </c>
      <c r="V100" s="43"/>
      <c r="W100" s="43"/>
      <c r="X100" s="45">
        <f>VLOOKUP(VALUE(LEFT($A102, 4)), 'Raw Annual Revenue'!$A:X, 24, FALSE) / 4
</f>
        <v>118636.5</v>
      </c>
      <c r="Y100" s="46">
        <f>VLOOKUP(VALUE(LEFT(A100, 4)), 'Raw Annual Revenue'!A:Y, 25, FALSE) / 4</f>
        <v>38294.2887</v>
      </c>
      <c r="Z100" s="46">
        <f>VLOOKUP(VALUE(LEFT($A100, 4)), 'Raw Annual Revenue'!$A:Z, 26, FALSE) / 4</f>
        <v>12928.5</v>
      </c>
      <c r="AA100" s="46">
        <f>VLOOKUP(VALUE(LEFT($A100, 4)), 'Raw Annual Revenue'!$A:AA, 27, FALSE) / 4</f>
        <v>194090.5</v>
      </c>
      <c r="AB100" s="46">
        <f>VLOOKUP(VALUE(LEFT($A100, 4)), 'Raw Annual Revenue'!$A:AB, 28, FALSE) / 4</f>
        <v>3825.75</v>
      </c>
      <c r="AC100" s="46">
        <f>VLOOKUP(VALUE(LEFT($A100, 4)), 'Raw Annual Revenue'!$A:AC, 29, FALSE) / 4</f>
        <v>32912</v>
      </c>
      <c r="AD100" s="43"/>
    </row>
    <row r="101">
      <c r="A101" s="42" t="s">
        <v>128</v>
      </c>
      <c r="B101" s="54">
        <f>IFERROR(__xludf.DUMMYFUNCTION("IMPORTRANGE(""https://docs.google.com/spreadsheets/d/1bozxp9FwhaCNzy-RRGPVPfVYTttO4PUGDdaFvbz-Ue0/edit?gid=1870218791#gid=1870218791"", ""Rev vs Mktg &amp; Mktg Mix!B"" &amp; ROW(A39))
"),2237.432)</f>
        <v>2237.432</v>
      </c>
      <c r="C101" s="54">
        <f>IFERROR(__xludf.DUMMYFUNCTION("IMPORTRANGE(""https://docs.google.com/spreadsheets/d/1bozxp9FwhaCNzy-RRGPVPfVYTttO4PUGDdaFvbz-Ue0/edit?gid=1870218791#gid=1870218791"", ""Rev vs Mktg &amp; Mktg Mix!C"" &amp; ROW(B39))
"),4676.0)</f>
        <v>4676</v>
      </c>
      <c r="D101" s="54">
        <f>IFERROR(__xludf.DUMMYFUNCTION("IMPORTRANGE(""https://docs.google.com/spreadsheets/d/1bozxp9FwhaCNzy-RRGPVPfVYTttO4PUGDdaFvbz-Ue0/edit?gid=1870218791#gid=1870218791"", ""Rev vs Mktg &amp; Mktg Mix!D"" &amp; ROW(C39))
"),2962.0)</f>
        <v>2962</v>
      </c>
      <c r="E101" s="54">
        <f>IFERROR(__xludf.DUMMYFUNCTION("IMPORTRANGE(""https://docs.google.com/spreadsheets/d/1bozxp9FwhaCNzy-RRGPVPfVYTttO4PUGDdaFvbz-Ue0/edit?gid=1870218791#gid=1870218791"", ""Rev vs Mktg &amp; Mktg Mix!E"" &amp; ROW(E39))
"),831.0)</f>
        <v>831</v>
      </c>
      <c r="F101" s="54">
        <f>IFERROR(__xludf.DUMMYFUNCTION("IMPORTRANGE(""https://docs.google.com/spreadsheets/d/1bozxp9FwhaCNzy-RRGPVPfVYTttO4PUGDdaFvbz-Ue0/edit?gid=1870218791#gid=1870218791"", ""Rev vs Mktg &amp; Mktg Mix!F"" &amp; ROW(G39))
"),303.0)</f>
        <v>303</v>
      </c>
      <c r="G101" s="54">
        <f>IFERROR(__xludf.DUMMYFUNCTION("IMPORTRANGE(""https://docs.google.com/spreadsheets/d/1bozxp9FwhaCNzy-RRGPVPfVYTttO4PUGDdaFvbz-Ue0/edit?gid=1870218791#gid=1870218791"", ""Rev vs Mktg &amp; Mktg Mix!G"" &amp; ROW(I39))
"),138.6)</f>
        <v>138.6</v>
      </c>
      <c r="H101" s="58">
        <f>IFERROR(__xludf.DUMMYFUNCTION("IMPORTRANGE(""https://docs.google.com/spreadsheets/d/1bozxp9FwhaCNzy-RRGPVPfVYTttO4PUGDdaFvbz-Ue0/edit?gid=1870218791#gid=1870218791"", ""Rev vs Mktg &amp; Mktg Mix!H"" &amp; ROW(H39))
"),109.89000000000001)</f>
        <v>109.89</v>
      </c>
      <c r="I101" s="58">
        <f>IFERROR(__xludf.DUMMYFUNCTION("IMPORTRANGE(""https://docs.google.com/spreadsheets/d/1bozxp9FwhaCNzy-RRGPVPfVYTttO4PUGDdaFvbz-Ue0/edit?gid=1870218791#gid=1870218791"", ""Rev vs Mktg &amp; Mktg Mix!I"" &amp; ROW(K39))
"),83.368)</f>
        <v>83.368</v>
      </c>
      <c r="J101" s="58">
        <f>IFERROR(__xludf.DUMMYFUNCTION("IMPORTRANGE(""https://docs.google.com/spreadsheets/d/1bozxp9FwhaCNzy-RRGPVPfVYTttO4PUGDdaFvbz-Ue0/edit?gid=1870218791#gid=1870218791"", ""Rev vs Mktg &amp; Mktg Mix!J"" &amp; ROW(J39))
"),67.479)</f>
        <v>67.479</v>
      </c>
      <c r="K101" s="46">
        <f>VLOOKUP(VALUE(LEFT(A104, 4)), 'Raw Annual Revenue'!A:K, 11, FALSE) / 4</f>
        <v>12553.25</v>
      </c>
      <c r="L101" s="58">
        <f>IFERROR(__xludf.DUMMYFUNCTION("IMPORTRANGE(""https://docs.google.com/spreadsheets/d/1bozxp9FwhaCNzy-RRGPVPfVYTttO4PUGDdaFvbz-Ue0/edit?gid=1870218791#gid=1870218791"", ""Rev vs Mktg &amp; Mktg Mix!L"" &amp; ROW(N39))
"),49.627524531899994)</f>
        <v>49.62752453</v>
      </c>
      <c r="M101" s="57">
        <f>IFERROR(__xludf.DUMMYFUNCTION("IMPORTRANGE(""https://docs.google.com/spreadsheets/d/1bozxp9FwhaCNzy-RRGPVPfVYTttO4PUGDdaFvbz-Ue0/edit?gid=1870218791#gid=1870218791"", ""Rev vs Mktg &amp; Mktg Mix!M"" &amp; ROW(M39))
"),17.754492182232138)</f>
        <v>17.75449218</v>
      </c>
      <c r="N101" s="57">
        <f>IFERROR(__xludf.DUMMYFUNCTION("IMPORTRANGE(""https://docs.google.com/spreadsheets/d/1bozxp9FwhaCNzy-RRGPVPfVYTttO4PUGDdaFvbz-Ue0/edit?gid=1870218791#gid=1870218791"", ""Rev vs Mktg &amp; Mktg Mix!N"" &amp; ROW(N39))
"),3.014)</f>
        <v>3.014</v>
      </c>
      <c r="O101" s="57">
        <f>IFERROR(__xludf.DUMMYFUNCTION("IMPORTRANGE(""https://docs.google.com/spreadsheets/d/1bozxp9FwhaCNzy-RRGPVPfVYTttO4PUGDdaFvbz-Ue0/edit?gid=1870218791#gid=1870218791"", ""Rev vs Mktg &amp; Mktg Mix!O"" &amp; ROW(O39))
"),18.102500000000003)</f>
        <v>18.1025</v>
      </c>
      <c r="P101" s="57">
        <f>IFERROR(__xludf.DUMMYFUNCTION("IMPORTRANGE(""https://docs.google.com/spreadsheets/d/1bozxp9FwhaCNzy-RRGPVPfVYTttO4PUGDdaFvbz-Ue0/edit?gid=1870218791#gid=1870218791"", ""Rev vs Mktg &amp; Mktg Mix!P"" &amp; ROW(P39))
"),7.41)</f>
        <v>7.41</v>
      </c>
      <c r="Q101" s="57"/>
      <c r="R101" s="46"/>
      <c r="S101" s="46">
        <f>VLOOKUP(VALUE(LEFT(A101, 4)), 'Raw Annual Revenue'!A:S, 19, FALSE) / 4</f>
        <v>46606</v>
      </c>
      <c r="T101" s="45">
        <f>VLOOKUP(VALUE(LEFT(A104, 4)), 'Raw Annual Revenue'!A:T, 20, FALSE) / 4</f>
        <v>7847</v>
      </c>
      <c r="U101" s="60">
        <f>IFERROR(__xludf.DUMMYFUNCTION("IMPORTRANGE(""https://docs.google.com/spreadsheets/d/1bozxp9FwhaCNzy-RRGPVPfVYTttO4PUGDdaFvbz-Ue0/edit?gid=1870218791#gid=1870218791"", ""Rev vs Mktg &amp; Mktg Mix!u"" &amp; ROW(Z39))
"),6.074)</f>
        <v>6.074</v>
      </c>
      <c r="V101" s="43"/>
      <c r="W101" s="43"/>
      <c r="X101" s="45">
        <f>VLOOKUP(VALUE(LEFT($A103, 4)), 'Raw Annual Revenue'!$A:X, 24, FALSE) / 4
</f>
        <v>180008.5</v>
      </c>
      <c r="Y101" s="46">
        <f>VLOOKUP(VALUE(LEFT(A101, 4)), 'Raw Annual Revenue'!A:Y, 25, FALSE) / 4</f>
        <v>38294.2887</v>
      </c>
      <c r="Z101" s="46">
        <f>VLOOKUP(VALUE(LEFT($A101, 4)), 'Raw Annual Revenue'!$A:Z, 26, FALSE) / 4</f>
        <v>12928.5</v>
      </c>
      <c r="AA101" s="46">
        <f>VLOOKUP(VALUE(LEFT($A101, 4)), 'Raw Annual Revenue'!$A:AA, 27, FALSE) / 4</f>
        <v>194090.5</v>
      </c>
      <c r="AB101" s="46">
        <f>VLOOKUP(VALUE(LEFT($A101, 4)), 'Raw Annual Revenue'!$A:AB, 28, FALSE) / 4</f>
        <v>3825.75</v>
      </c>
      <c r="AC101" s="46">
        <f>VLOOKUP(VALUE(LEFT($A101, 4)), 'Raw Annual Revenue'!$A:AC, 29, FALSE) / 4</f>
        <v>32912</v>
      </c>
      <c r="AD101" s="43"/>
    </row>
    <row r="102">
      <c r="A102" s="42" t="s">
        <v>129</v>
      </c>
      <c r="B102" s="54">
        <f>IFERROR(__xludf.DUMMYFUNCTION("IMPORTRANGE(""https://docs.google.com/spreadsheets/d/1bozxp9FwhaCNzy-RRGPVPfVYTttO4PUGDdaFvbz-Ue0/edit?gid=1870218791#gid=1870218791"", ""Rev vs Mktg &amp; Mktg Mix!B"" &amp; ROW(A40))
"),1532.196)</f>
        <v>1532.196</v>
      </c>
      <c r="C102" s="54">
        <f>IFERROR(__xludf.DUMMYFUNCTION("IMPORTRANGE(""https://docs.google.com/spreadsheets/d/1bozxp9FwhaCNzy-RRGPVPfVYTttO4PUGDdaFvbz-Ue0/edit?gid=1870218791#gid=1870218791"", ""Rev vs Mktg &amp; Mktg Mix!C"" &amp; ROW(B40))
"),2981.0)</f>
        <v>2981</v>
      </c>
      <c r="D102" s="54">
        <f>IFERROR(__xludf.DUMMYFUNCTION("IMPORTRANGE(""https://docs.google.com/spreadsheets/d/1bozxp9FwhaCNzy-RRGPVPfVYTttO4PUGDdaFvbz-Ue0/edit?gid=1870218791#gid=1870218791"", ""Rev vs Mktg &amp; Mktg Mix!D"" &amp; ROW(C40))
"),2279.0)</f>
        <v>2279</v>
      </c>
      <c r="E102" s="54">
        <f>IFERROR(__xludf.DUMMYFUNCTION("IMPORTRANGE(""https://docs.google.com/spreadsheets/d/1bozxp9FwhaCNzy-RRGPVPfVYTttO4PUGDdaFvbz-Ue0/edit?gid=1870218791#gid=1870218791"", ""Rev vs Mktg &amp; Mktg Mix!E"" &amp; ROW(E40))
"),735.0)</f>
        <v>735</v>
      </c>
      <c r="F102" s="54">
        <f>IFERROR(__xludf.DUMMYFUNCTION("IMPORTRANGE(""https://docs.google.com/spreadsheets/d/1bozxp9FwhaCNzy-RRGPVPfVYTttO4PUGDdaFvbz-Ue0/edit?gid=1870218791#gid=1870218791"", ""Rev vs Mktg &amp; Mktg Mix!F"" &amp; ROW(G40))
"),241.0)</f>
        <v>241</v>
      </c>
      <c r="G102" s="54">
        <f>IFERROR(__xludf.DUMMYFUNCTION("IMPORTRANGE(""https://docs.google.com/spreadsheets/d/1bozxp9FwhaCNzy-RRGPVPfVYTttO4PUGDdaFvbz-Ue0/edit?gid=1870218791#gid=1870218791"", ""Rev vs Mktg &amp; Mktg Mix!G"" &amp; ROW(I40))
"),89.126)</f>
        <v>89.126</v>
      </c>
      <c r="H102" s="58">
        <f>IFERROR(__xludf.DUMMYFUNCTION("IMPORTRANGE(""https://docs.google.com/spreadsheets/d/1bozxp9FwhaCNzy-RRGPVPfVYTttO4PUGDdaFvbz-Ue0/edit?gid=1870218791#gid=1870218791"", ""Rev vs Mktg &amp; Mktg Mix!H"" &amp; ROW(H40))
"),104.94000000000001)</f>
        <v>104.94</v>
      </c>
      <c r="I102" s="58">
        <f>IFERROR(__xludf.DUMMYFUNCTION("IMPORTRANGE(""https://docs.google.com/spreadsheets/d/1bozxp9FwhaCNzy-RRGPVPfVYTttO4PUGDdaFvbz-Ue0/edit?gid=1870218791#gid=1870218791"", ""Rev vs Mktg &amp; Mktg Mix!I"" &amp; ROW(K40))
"),124.556)</f>
        <v>124.556</v>
      </c>
      <c r="J102" s="58">
        <f>IFERROR(__xludf.DUMMYFUNCTION("IMPORTRANGE(""https://docs.google.com/spreadsheets/d/1bozxp9FwhaCNzy-RRGPVPfVYTttO4PUGDdaFvbz-Ue0/edit?gid=1870218791#gid=1870218791"", ""Rev vs Mktg &amp; Mktg Mix!J"" &amp; ROW(J40))
"),115.023)</f>
        <v>115.023</v>
      </c>
      <c r="K102" s="46">
        <f>VLOOKUP(VALUE(LEFT(A105, 4)), 'Raw Annual Revenue'!A:K, 11, FALSE) / 4</f>
        <v>12553.25</v>
      </c>
      <c r="L102" s="58">
        <f>IFERROR(__xludf.DUMMYFUNCTION("IMPORTRANGE(""https://docs.google.com/spreadsheets/d/1bozxp9FwhaCNzy-RRGPVPfVYTttO4PUGDdaFvbz-Ue0/edit?gid=1870218791#gid=1870218791"", ""Rev vs Mktg &amp; Mktg Mix!L"" &amp; ROW(N40))
"),50.0815124733)</f>
        <v>50.08151247</v>
      </c>
      <c r="M102" s="57">
        <f>IFERROR(__xludf.DUMMYFUNCTION("IMPORTRANGE(""https://docs.google.com/spreadsheets/d/1bozxp9FwhaCNzy-RRGPVPfVYTttO4PUGDdaFvbz-Ue0/edit?gid=1870218791#gid=1870218791"", ""Rev vs Mktg &amp; Mktg Mix!M"" &amp; ROW(M40))
"),38.73707385214285)</f>
        <v>38.73707385</v>
      </c>
      <c r="N102" s="57">
        <f>IFERROR(__xludf.DUMMYFUNCTION("IMPORTRANGE(""https://docs.google.com/spreadsheets/d/1bozxp9FwhaCNzy-RRGPVPfVYTttO4PUGDdaFvbz-Ue0/edit?gid=1870218791#gid=1870218791"", ""Rev vs Mktg &amp; Mktg Mix!N"" &amp; ROW(N40))
"),3.837)</f>
        <v>3.837</v>
      </c>
      <c r="O102" s="57">
        <f>IFERROR(__xludf.DUMMYFUNCTION("IMPORTRANGE(""https://docs.google.com/spreadsheets/d/1bozxp9FwhaCNzy-RRGPVPfVYTttO4PUGDdaFvbz-Ue0/edit?gid=1870218791#gid=1870218791"", ""Rev vs Mktg &amp; Mktg Mix!O"" &amp; ROW(O40))
"),26.974999999999998)</f>
        <v>26.975</v>
      </c>
      <c r="P102" s="57">
        <f>IFERROR(__xludf.DUMMYFUNCTION("IMPORTRANGE(""https://docs.google.com/spreadsheets/d/1bozxp9FwhaCNzy-RRGPVPfVYTttO4PUGDdaFvbz-Ue0/edit?gid=1870218791#gid=1870218791"", ""Rev vs Mktg &amp; Mktg Mix!P"" &amp; ROW(P40))
"),6.2075)</f>
        <v>6.2075</v>
      </c>
      <c r="Q102" s="57"/>
      <c r="R102" s="46"/>
      <c r="S102" s="46">
        <f>VLOOKUP(VALUE(LEFT(A102, 4)), 'Raw Annual Revenue'!A:S, 19, FALSE) / 4</f>
        <v>46606</v>
      </c>
      <c r="T102" s="45">
        <f>VLOOKUP(VALUE(LEFT(A105, 4)), 'Raw Annual Revenue'!A:T, 20, FALSE) / 4</f>
        <v>7847</v>
      </c>
      <c r="U102" s="60">
        <f>IFERROR(__xludf.DUMMYFUNCTION("IMPORTRANGE(""https://docs.google.com/spreadsheets/d/1bozxp9FwhaCNzy-RRGPVPfVYTttO4PUGDdaFvbz-Ue0/edit?gid=1870218791#gid=1870218791"", ""Rev vs Mktg &amp; Mktg Mix!u"" &amp; ROW(Z40))
"),8.429)</f>
        <v>8.429</v>
      </c>
      <c r="V102" s="43"/>
      <c r="W102" s="43"/>
      <c r="X102" s="45">
        <f>VLOOKUP(VALUE(LEFT($A104, 4)), 'Raw Annual Revenue'!$A:X, 24, FALSE) / 4
</f>
        <v>180008.5</v>
      </c>
      <c r="Y102" s="46">
        <f>VLOOKUP(VALUE(LEFT(A102, 4)), 'Raw Annual Revenue'!A:Y, 25, FALSE) / 4</f>
        <v>38294.2887</v>
      </c>
      <c r="Z102" s="46">
        <f>VLOOKUP(VALUE(LEFT($A102, 4)), 'Raw Annual Revenue'!$A:Z, 26, FALSE) / 4</f>
        <v>12928.5</v>
      </c>
      <c r="AA102" s="46">
        <f>VLOOKUP(VALUE(LEFT($A102, 4)), 'Raw Annual Revenue'!$A:AA, 27, FALSE) / 4</f>
        <v>194090.5</v>
      </c>
      <c r="AB102" s="46">
        <f>VLOOKUP(VALUE(LEFT($A102, 4)), 'Raw Annual Revenue'!$A:AB, 28, FALSE) / 4</f>
        <v>3825.75</v>
      </c>
      <c r="AC102" s="46">
        <f>VLOOKUP(VALUE(LEFT($A102, 4)), 'Raw Annual Revenue'!$A:AC, 29, FALSE) / 4</f>
        <v>32912</v>
      </c>
      <c r="AD102" s="43"/>
    </row>
    <row r="103">
      <c r="A103" s="42" t="s">
        <v>130</v>
      </c>
      <c r="B103" s="54">
        <f>IFERROR(__xludf.DUMMYFUNCTION("IMPORTRANGE(""https://docs.google.com/spreadsheets/d/1bozxp9FwhaCNzy-RRGPVPfVYTttO4PUGDdaFvbz-Ue0/edit?gid=1870218791#gid=1870218791"", ""Rev vs Mktg &amp; Mktg Mix!B"" &amp; ROW(A41))
"),1508.937)</f>
        <v>1508.937</v>
      </c>
      <c r="C103" s="54">
        <f>IFERROR(__xludf.DUMMYFUNCTION("IMPORTRANGE(""https://docs.google.com/spreadsheets/d/1bozxp9FwhaCNzy-RRGPVPfVYTttO4PUGDdaFvbz-Ue0/edit?gid=1870218791#gid=1870218791"", ""Rev vs Mktg &amp; Mktg Mix!C"" &amp; ROW(B41))
"),2695.0)</f>
        <v>2695</v>
      </c>
      <c r="D103" s="54">
        <f>IFERROR(__xludf.DUMMYFUNCTION("IMPORTRANGE(""https://docs.google.com/spreadsheets/d/1bozxp9FwhaCNzy-RRGPVPfVYTttO4PUGDdaFvbz-Ue0/edit?gid=1870218791#gid=1870218791"", ""Rev vs Mktg &amp; Mktg Mix!D"" &amp; ROW(C41))
"),2249.0)</f>
        <v>2249</v>
      </c>
      <c r="E103" s="54">
        <f>IFERROR(__xludf.DUMMYFUNCTION("IMPORTRANGE(""https://docs.google.com/spreadsheets/d/1bozxp9FwhaCNzy-RRGPVPfVYTttO4PUGDdaFvbz-Ue0/edit?gid=1870218791#gid=1870218791"", ""Rev vs Mktg &amp; Mktg Mix!E"" &amp; ROW(E41))
"),649.0)</f>
        <v>649</v>
      </c>
      <c r="F103" s="54">
        <f>IFERROR(__xludf.DUMMYFUNCTION("IMPORTRANGE(""https://docs.google.com/spreadsheets/d/1bozxp9FwhaCNzy-RRGPVPfVYTttO4PUGDdaFvbz-Ue0/edit?gid=1870218791#gid=1870218791"", ""Rev vs Mktg &amp; Mktg Mix!F"" &amp; ROW(G41))
"),262.0)</f>
        <v>262</v>
      </c>
      <c r="G103" s="54">
        <f>IFERROR(__xludf.DUMMYFUNCTION("IMPORTRANGE(""https://docs.google.com/spreadsheets/d/1bozxp9FwhaCNzy-RRGPVPfVYTttO4PUGDdaFvbz-Ue0/edit?gid=1870218791#gid=1870218791"", ""Rev vs Mktg &amp; Mktg Mix!G"" &amp; ROW(I41))
"),101.638)</f>
        <v>101.638</v>
      </c>
      <c r="H103" s="58">
        <f>IFERROR(__xludf.DUMMYFUNCTION("IMPORTRANGE(""https://docs.google.com/spreadsheets/d/1bozxp9FwhaCNzy-RRGPVPfVYTttO4PUGDdaFvbz-Ue0/edit?gid=1870218791#gid=1870218791"", ""Rev vs Mktg &amp; Mktg Mix!H"" &amp; ROW(H41))
"),130.79000000000002)</f>
        <v>130.79</v>
      </c>
      <c r="I103" s="58">
        <f>IFERROR(__xludf.DUMMYFUNCTION("IMPORTRANGE(""https://docs.google.com/spreadsheets/d/1bozxp9FwhaCNzy-RRGPVPfVYTttO4PUGDdaFvbz-Ue0/edit?gid=1870218791#gid=1870218791"", ""Rev vs Mktg &amp; Mktg Mix!I"" &amp; ROW(K41))
"),112.414)</f>
        <v>112.414</v>
      </c>
      <c r="J103" s="58">
        <f>IFERROR(__xludf.DUMMYFUNCTION("IMPORTRANGE(""https://docs.google.com/spreadsheets/d/1bozxp9FwhaCNzy-RRGPVPfVYTttO4PUGDdaFvbz-Ue0/edit?gid=1870218791#gid=1870218791"", ""Rev vs Mktg &amp; Mktg Mix!J"" &amp; ROW(J41))
"),88.587)</f>
        <v>88.587</v>
      </c>
      <c r="K103" s="46">
        <f>VLOOKUP(VALUE(LEFT(A106, 4)), 'Raw Annual Revenue'!A:K, 11, FALSE) / 4</f>
        <v>12553.25</v>
      </c>
      <c r="L103" s="58">
        <f>IFERROR(__xludf.DUMMYFUNCTION("IMPORTRANGE(""https://docs.google.com/spreadsheets/d/1bozxp9FwhaCNzy-RRGPVPfVYTttO4PUGDdaFvbz-Ue0/edit?gid=1870218791#gid=1870218791"", ""Rev vs Mktg &amp; Mktg Mix!L"" &amp; ROW(N41))
"),42.05933676)</f>
        <v>42.05933676</v>
      </c>
      <c r="M103" s="57">
        <f>IFERROR(__xludf.DUMMYFUNCTION("IMPORTRANGE(""https://docs.google.com/spreadsheets/d/1bozxp9FwhaCNzy-RRGPVPfVYTttO4PUGDdaFvbz-Ue0/edit?gid=1870218791#gid=1870218791"", ""Rev vs Mktg &amp; Mktg Mix!M"" &amp; ROW(M41))
"),35.4711)</f>
        <v>35.4711</v>
      </c>
      <c r="N103" s="57">
        <f>IFERROR(__xludf.DUMMYFUNCTION("IMPORTRANGE(""https://docs.google.com/spreadsheets/d/1bozxp9FwhaCNzy-RRGPVPfVYTttO4PUGDdaFvbz-Ue0/edit?gid=1870218791#gid=1870218791"", ""Rev vs Mktg &amp; Mktg Mix!N"" &amp; ROW(N41))
"),4.076)</f>
        <v>4.076</v>
      </c>
      <c r="O103" s="57">
        <f>IFERROR(__xludf.DUMMYFUNCTION("IMPORTRANGE(""https://docs.google.com/spreadsheets/d/1bozxp9FwhaCNzy-RRGPVPfVYTttO4PUGDdaFvbz-Ue0/edit?gid=1870218791#gid=1870218791"", ""Rev vs Mktg &amp; Mktg Mix!O"" &amp; ROW(O41))
"),26.974999999999998)</f>
        <v>26.975</v>
      </c>
      <c r="P103" s="57">
        <f>IFERROR(__xludf.DUMMYFUNCTION("IMPORTRANGE(""https://docs.google.com/spreadsheets/d/1bozxp9FwhaCNzy-RRGPVPfVYTttO4PUGDdaFvbz-Ue0/edit?gid=1870218791#gid=1870218791"", ""Rev vs Mktg &amp; Mktg Mix!P"" &amp; ROW(P41))
"),6.2075)</f>
        <v>6.2075</v>
      </c>
      <c r="Q103" s="57"/>
      <c r="R103" s="46"/>
      <c r="S103" s="46">
        <f>VLOOKUP(VALUE(LEFT(A103, 4)), 'Raw Annual Revenue'!A:S, 19, FALSE) / 4</f>
        <v>82029.5</v>
      </c>
      <c r="T103" s="45">
        <f>VLOOKUP(VALUE(LEFT(A106, 4)), 'Raw Annual Revenue'!A:T, 20, FALSE) / 4</f>
        <v>7847</v>
      </c>
      <c r="U103" s="60">
        <f>IFERROR(__xludf.DUMMYFUNCTION("IMPORTRANGE(""https://docs.google.com/spreadsheets/d/1bozxp9FwhaCNzy-RRGPVPfVYTttO4PUGDdaFvbz-Ue0/edit?gid=1870218791#gid=1870218791"", ""Rev vs Mktg &amp; Mktg Mix!u"" &amp; ROW(Z41))
"),7.973)</f>
        <v>7.973</v>
      </c>
      <c r="V103" s="43"/>
      <c r="W103" s="43"/>
      <c r="X103" s="45">
        <f>VLOOKUP(VALUE(LEFT($A105, 4)), 'Raw Annual Revenue'!$A:X, 24, FALSE) / 4
</f>
        <v>180008.5</v>
      </c>
      <c r="Y103" s="46">
        <f>VLOOKUP(VALUE(LEFT(A103, 4)), 'Raw Annual Revenue'!A:Y, 25, FALSE) / 4</f>
        <v>85651.1215</v>
      </c>
      <c r="Z103" s="46">
        <f>VLOOKUP(VALUE(LEFT($A103, 4)), 'Raw Annual Revenue'!$A:Z, 26, FALSE) / 4</f>
        <v>28811.75</v>
      </c>
      <c r="AA103" s="46">
        <f>VLOOKUP(VALUE(LEFT($A103, 4)), 'Raw Annual Revenue'!$A:AA, 27, FALSE) / 4</f>
        <v>66020.25</v>
      </c>
      <c r="AB103" s="46">
        <f>VLOOKUP(VALUE(LEFT($A103, 4)), 'Raw Annual Revenue'!$A:AB, 28, FALSE) / 4</f>
        <v>2910</v>
      </c>
      <c r="AC103" s="46">
        <f>VLOOKUP(VALUE(LEFT($A103, 4)), 'Raw Annual Revenue'!$A:AC, 29, FALSE) / 4</f>
        <v>56762.75</v>
      </c>
      <c r="AD103" s="43"/>
    </row>
    <row r="104">
      <c r="A104" s="42" t="s">
        <v>131</v>
      </c>
      <c r="B104" s="54">
        <f>IFERROR(__xludf.DUMMYFUNCTION("IMPORTRANGE(""https://docs.google.com/spreadsheets/d/1bozxp9FwhaCNzy-RRGPVPfVYTttO4PUGDdaFvbz-Ue0/edit?gid=1870218791#gid=1870218791"", ""Rev vs Mktg &amp; Mktg Mix!B"" &amp; ROW(A42))
"),2104.107)</f>
        <v>2104.107</v>
      </c>
      <c r="C104" s="54">
        <f>IFERROR(__xludf.DUMMYFUNCTION("IMPORTRANGE(""https://docs.google.com/spreadsheets/d/1bozxp9FwhaCNzy-RRGPVPfVYTttO4PUGDdaFvbz-Ue0/edit?gid=1870218791#gid=1870218791"", ""Rev vs Mktg &amp; Mktg Mix!C"" &amp; ROW(B42))
"),4294.0)</f>
        <v>4294</v>
      </c>
      <c r="D104" s="54">
        <f>IFERROR(__xludf.DUMMYFUNCTION("IMPORTRANGE(""https://docs.google.com/spreadsheets/d/1bozxp9FwhaCNzy-RRGPVPfVYTttO4PUGDdaFvbz-Ue0/edit?gid=1870218791#gid=1870218791"", ""Rev vs Mktg &amp; Mktg Mix!D"" &amp; ROW(C42))
"),3181.0)</f>
        <v>3181</v>
      </c>
      <c r="E104" s="54">
        <f>IFERROR(__xludf.DUMMYFUNCTION("IMPORTRANGE(""https://docs.google.com/spreadsheets/d/1bozxp9FwhaCNzy-RRGPVPfVYTttO4PUGDdaFvbz-Ue0/edit?gid=1870218791#gid=1870218791"", ""Rev vs Mktg &amp; Mktg Mix!E"" &amp; ROW(E42))
"),599.0)</f>
        <v>599</v>
      </c>
      <c r="F104" s="54">
        <f>IFERROR(__xludf.DUMMYFUNCTION("IMPORTRANGE(""https://docs.google.com/spreadsheets/d/1bozxp9FwhaCNzy-RRGPVPfVYTttO4PUGDdaFvbz-Ue0/edit?gid=1870218791#gid=1870218791"", ""Rev vs Mktg &amp; Mktg Mix!F"" &amp; ROW(G42))
"),417.0)</f>
        <v>417</v>
      </c>
      <c r="G104" s="54">
        <f>IFERROR(__xludf.DUMMYFUNCTION("IMPORTRANGE(""https://docs.google.com/spreadsheets/d/1bozxp9FwhaCNzy-RRGPVPfVYTttO4PUGDdaFvbz-Ue0/edit?gid=1870218791#gid=1870218791"", ""Rev vs Mktg &amp; Mktg Mix!G"" &amp; ROW(I42))
"),144.769)</f>
        <v>144.769</v>
      </c>
      <c r="H104" s="58">
        <f>IFERROR(__xludf.DUMMYFUNCTION("IMPORTRANGE(""https://docs.google.com/spreadsheets/d/1bozxp9FwhaCNzy-RRGPVPfVYTttO4PUGDdaFvbz-Ue0/edit?gid=1870218791#gid=1870218791"", ""Rev vs Mktg &amp; Mktg Mix!H"" &amp; ROW(H42))
"),160.27)</f>
        <v>160.27</v>
      </c>
      <c r="I104" s="58">
        <f>IFERROR(__xludf.DUMMYFUNCTION("IMPORTRANGE(""https://docs.google.com/spreadsheets/d/1bozxp9FwhaCNzy-RRGPVPfVYTttO4PUGDdaFvbz-Ue0/edit?gid=1870218791#gid=1870218791"", ""Rev vs Mktg &amp; Mktg Mix!I"" &amp; ROW(K42))
"),134.421)</f>
        <v>134.421</v>
      </c>
      <c r="J104" s="58">
        <f>IFERROR(__xludf.DUMMYFUNCTION("IMPORTRANGE(""https://docs.google.com/spreadsheets/d/1bozxp9FwhaCNzy-RRGPVPfVYTttO4PUGDdaFvbz-Ue0/edit?gid=1870218791#gid=1870218791"", ""Rev vs Mktg &amp; Mktg Mix!J"" &amp; ROW(J42))
"),142.733)</f>
        <v>142.733</v>
      </c>
      <c r="K104" s="46">
        <f>VLOOKUP(VALUE(LEFT(A107, 4)), 'Raw Annual Revenue'!A:K, 11, FALSE) / 4</f>
        <v>15251.75</v>
      </c>
      <c r="L104" s="58">
        <f>IFERROR(__xludf.DUMMYFUNCTION("IMPORTRANGE(""https://docs.google.com/spreadsheets/d/1bozxp9FwhaCNzy-RRGPVPfVYTttO4PUGDdaFvbz-Ue0/edit?gid=1870218791#gid=1870218791"", ""Rev vs Mktg &amp; Mktg Mix!L"" &amp; ROW(N42))
"),59.3056621479)</f>
        <v>59.30566215</v>
      </c>
      <c r="M104" s="57">
        <f>IFERROR(__xludf.DUMMYFUNCTION("IMPORTRANGE(""https://docs.google.com/spreadsheets/d/1bozxp9FwhaCNzy-RRGPVPfVYTttO4PUGDdaFvbz-Ue0/edit?gid=1870218791#gid=1870218791"", ""Rev vs Mktg &amp; Mktg Mix!M"" &amp; ROW(M42))
"),32.004)</f>
        <v>32.004</v>
      </c>
      <c r="N104" s="57">
        <f>IFERROR(__xludf.DUMMYFUNCTION("IMPORTRANGE(""https://docs.google.com/spreadsheets/d/1bozxp9FwhaCNzy-RRGPVPfVYTttO4PUGDdaFvbz-Ue0/edit?gid=1870218791#gid=1870218791"", ""Rev vs Mktg &amp; Mktg Mix!N"" &amp; ROW(N42))
"),5.556)</f>
        <v>5.556</v>
      </c>
      <c r="O104" s="57">
        <f>IFERROR(__xludf.DUMMYFUNCTION("IMPORTRANGE(""https://docs.google.com/spreadsheets/d/1bozxp9FwhaCNzy-RRGPVPfVYTttO4PUGDdaFvbz-Ue0/edit?gid=1870218791#gid=1870218791"", ""Rev vs Mktg &amp; Mktg Mix!O"" &amp; ROW(O42))
"),57.135000000000005)</f>
        <v>57.135</v>
      </c>
      <c r="P104" s="57">
        <f>IFERROR(__xludf.DUMMYFUNCTION("IMPORTRANGE(""https://docs.google.com/spreadsheets/d/1bozxp9FwhaCNzy-RRGPVPfVYTttO4PUGDdaFvbz-Ue0/edit?gid=1870218791#gid=1870218791"", ""Rev vs Mktg &amp; Mktg Mix!P"" &amp; ROW(P42))
"),16.835)</f>
        <v>16.835</v>
      </c>
      <c r="Q104" s="57"/>
      <c r="R104" s="46"/>
      <c r="S104" s="46">
        <f>VLOOKUP(VALUE(LEFT(A104, 4)), 'Raw Annual Revenue'!A:S, 19, FALSE) / 4</f>
        <v>82029.5</v>
      </c>
      <c r="T104" s="67">
        <f>IFERROR(__xludf.DUMMYFUNCTION("IMPORTRANGE(""https://docs.google.com/spreadsheets/d/1bozxp9FwhaCNzy-RRGPVPfVYTttO4PUGDdaFvbz-Ue0/edit?gid=1870218791#gid=1870218791"", ""Rev vs Mktg &amp; Mktg Mix!T"" &amp; ROW(Y42))*1000
"),10319.882352941177)</f>
        <v>10319.88235</v>
      </c>
      <c r="U104" s="60">
        <f>IFERROR(__xludf.DUMMYFUNCTION("IMPORTRANGE(""https://docs.google.com/spreadsheets/d/1bozxp9FwhaCNzy-RRGPVPfVYTttO4PUGDdaFvbz-Ue0/edit?gid=1870218791#gid=1870218791"", ""Rev vs Mktg &amp; Mktg Mix!u"" &amp; ROW(Z42))
"),11.377)</f>
        <v>11.377</v>
      </c>
      <c r="V104" s="43"/>
      <c r="W104" s="43"/>
      <c r="X104" s="45">
        <f>VLOOKUP(VALUE(LEFT($A106, 4)), 'Raw Annual Revenue'!$A:X, 24, FALSE) / 4
</f>
        <v>180008.5</v>
      </c>
      <c r="Y104" s="46">
        <f>VLOOKUP(VALUE(LEFT(A104, 4)), 'Raw Annual Revenue'!A:Y, 25, FALSE) / 4</f>
        <v>85651.1215</v>
      </c>
      <c r="Z104" s="46">
        <f>VLOOKUP(VALUE(LEFT($A104, 4)), 'Raw Annual Revenue'!$A:Z, 26, FALSE) / 4</f>
        <v>28811.75</v>
      </c>
      <c r="AA104" s="46">
        <f>VLOOKUP(VALUE(LEFT($A104, 4)), 'Raw Annual Revenue'!$A:AA, 27, FALSE) / 4</f>
        <v>66020.25</v>
      </c>
      <c r="AB104" s="46">
        <f>VLOOKUP(VALUE(LEFT($A104, 4)), 'Raw Annual Revenue'!$A:AB, 28, FALSE) / 4</f>
        <v>2910</v>
      </c>
      <c r="AC104" s="46">
        <f>VLOOKUP(VALUE(LEFT($A104, 4)), 'Raw Annual Revenue'!$A:AC, 29, FALSE) / 4</f>
        <v>56762.75</v>
      </c>
      <c r="AD104" s="43"/>
    </row>
    <row r="105">
      <c r="A105" s="42" t="s">
        <v>132</v>
      </c>
      <c r="B105" s="54">
        <f>IFERROR(__xludf.DUMMYFUNCTION("IMPORTRANGE(""https://docs.google.com/spreadsheets/d/1bozxp9FwhaCNzy-RRGPVPfVYTttO4PUGDdaFvbz-Ue0/edit?gid=1870218791#gid=1870218791"", ""Rev vs Mktg &amp; Mktg Mix!B"" &amp; ROW(A43))
"),2884.41)</f>
        <v>2884.41</v>
      </c>
      <c r="C105" s="54">
        <f>IFERROR(__xludf.DUMMYFUNCTION("IMPORTRANGE(""https://docs.google.com/spreadsheets/d/1bozxp9FwhaCNzy-RRGPVPfVYTttO4PUGDdaFvbz-Ue0/edit?gid=1870218791#gid=1870218791"", ""Rev vs Mktg &amp; Mktg Mix!C"" &amp; ROW(B43))
"),6052.0)</f>
        <v>6052</v>
      </c>
      <c r="D105" s="54">
        <f>IFERROR(__xludf.DUMMYFUNCTION("IMPORTRANGE(""https://docs.google.com/spreadsheets/d/1bozxp9FwhaCNzy-RRGPVPfVYTttO4PUGDdaFvbz-Ue0/edit?gid=1870218791#gid=1870218791"", ""Rev vs Mktg &amp; Mktg Mix!D"" &amp; ROW(C43))
"),3619.0)</f>
        <v>3619</v>
      </c>
      <c r="E105" s="54">
        <f>IFERROR(__xludf.DUMMYFUNCTION("IMPORTRANGE(""https://docs.google.com/spreadsheets/d/1bozxp9FwhaCNzy-RRGPVPfVYTttO4PUGDdaFvbz-Ue0/edit?gid=1870218791#gid=1870218791"", ""Rev vs Mktg &amp; Mktg Mix!E"" &amp; ROW(E43))
"),969.0)</f>
        <v>969</v>
      </c>
      <c r="F105" s="54">
        <f>IFERROR(__xludf.DUMMYFUNCTION("IMPORTRANGE(""https://docs.google.com/spreadsheets/d/1bozxp9FwhaCNzy-RRGPVPfVYTttO4PUGDdaFvbz-Ue0/edit?gid=1870218791#gid=1870218791"", ""Rev vs Mktg &amp; Mktg Mix!F"" &amp; ROW(G43))
"),459.0)</f>
        <v>459</v>
      </c>
      <c r="G105" s="54">
        <f>IFERROR(__xludf.DUMMYFUNCTION("IMPORTRANGE(""https://docs.google.com/spreadsheets/d/1bozxp9FwhaCNzy-RRGPVPfVYTttO4PUGDdaFvbz-Ue0/edit?gid=1870218791#gid=1870218791"", ""Rev vs Mktg &amp; Mktg Mix!G"" &amp; ROW(I43))
"),183.7)</f>
        <v>183.7</v>
      </c>
      <c r="H105" s="58">
        <f>IFERROR(__xludf.DUMMYFUNCTION("IMPORTRANGE(""https://docs.google.com/spreadsheets/d/1bozxp9FwhaCNzy-RRGPVPfVYTttO4PUGDdaFvbz-Ue0/edit?gid=1870218791#gid=1870218791"", ""Rev vs Mktg &amp; Mktg Mix!H"" &amp; ROW(H43))
"),157.63000000000002)</f>
        <v>157.63</v>
      </c>
      <c r="I105" s="58">
        <f>IFERROR(__xludf.DUMMYFUNCTION("IMPORTRANGE(""https://docs.google.com/spreadsheets/d/1bozxp9FwhaCNzy-RRGPVPfVYTttO4PUGDdaFvbz-Ue0/edit?gid=1870218791#gid=1870218791"", ""Rev vs Mktg &amp; Mktg Mix!I"" &amp; ROW(K43))
"),145.596)</f>
        <v>145.596</v>
      </c>
      <c r="J105" s="58">
        <f>IFERROR(__xludf.DUMMYFUNCTION("IMPORTRANGE(""https://docs.google.com/spreadsheets/d/1bozxp9FwhaCNzy-RRGPVPfVYTttO4PUGDdaFvbz-Ue0/edit?gid=1870218791#gid=1870218791"", ""Rev vs Mktg &amp; Mktg Mix!J"" &amp; ROW(J43))
"),131.254)</f>
        <v>131.254</v>
      </c>
      <c r="K105" s="46">
        <f>VLOOKUP(VALUE(LEFT(A108, 4)), 'Raw Annual Revenue'!A:K, 11, FALSE) / 4</f>
        <v>15251.75</v>
      </c>
      <c r="L105" s="58">
        <f>IFERROR(__xludf.DUMMYFUNCTION("IMPORTRANGE(""https://docs.google.com/spreadsheets/d/1bozxp9FwhaCNzy-RRGPVPfVYTttO4PUGDdaFvbz-Ue0/edit?gid=1870218791#gid=1870218791"", ""Rev vs Mktg &amp; Mktg Mix!L"" &amp; ROW(N43))
"),67.97697525989999)</f>
        <v>67.97697526</v>
      </c>
      <c r="M105" s="57">
        <f>IFERROR(__xludf.DUMMYFUNCTION("IMPORTRANGE(""https://docs.google.com/spreadsheets/d/1bozxp9FwhaCNzy-RRGPVPfVYTttO4PUGDdaFvbz-Ue0/edit?gid=1870218791#gid=1870218791"", ""Rev vs Mktg &amp; Mktg Mix!M"" &amp; ROW(M43))
"),35.2044)</f>
        <v>35.2044</v>
      </c>
      <c r="N105" s="57">
        <f>IFERROR(__xludf.DUMMYFUNCTION("IMPORTRANGE(""https://docs.google.com/spreadsheets/d/1bozxp9FwhaCNzy-RRGPVPfVYTttO4PUGDdaFvbz-Ue0/edit?gid=1870218791#gid=1870218791"", ""Rev vs Mktg &amp; Mktg Mix!N"" &amp; ROW(N43))
"),6.112)</f>
        <v>6.112</v>
      </c>
      <c r="O105" s="57">
        <f>IFERROR(__xludf.DUMMYFUNCTION("IMPORTRANGE(""https://docs.google.com/spreadsheets/d/1bozxp9FwhaCNzy-RRGPVPfVYTttO4PUGDdaFvbz-Ue0/edit?gid=1870218791#gid=1870218791"", ""Rev vs Mktg &amp; Mktg Mix!O"" &amp; ROW(O43))
"),57.135000000000005)</f>
        <v>57.135</v>
      </c>
      <c r="P105" s="57">
        <f>IFERROR(__xludf.DUMMYFUNCTION("IMPORTRANGE(""https://docs.google.com/spreadsheets/d/1bozxp9FwhaCNzy-RRGPVPfVYTttO4PUGDdaFvbz-Ue0/edit?gid=1870218791#gid=1870218791"", ""Rev vs Mktg &amp; Mktg Mix!P"" &amp; ROW(P43))
"),16.835)</f>
        <v>16.835</v>
      </c>
      <c r="Q105" s="57"/>
      <c r="R105" s="46"/>
      <c r="S105" s="46">
        <f>VLOOKUP(VALUE(LEFT(A105, 4)), 'Raw Annual Revenue'!A:S, 19, FALSE) / 4</f>
        <v>82029.5</v>
      </c>
      <c r="T105" s="68">
        <f>IFERROR(__xludf.DUMMYFUNCTION("IMPORTRANGE(""https://docs.google.com/spreadsheets/d/1bozxp9FwhaCNzy-RRGPVPfVYTttO4PUGDdaFvbz-Ue0/edit?gid=1870218791#gid=1870218791"", ""Rev vs Mktg &amp; Mktg Mix!T"" &amp; ROW(Y43))*1000
"),12711.058823529413)</f>
        <v>12711.05882</v>
      </c>
      <c r="U105" s="60">
        <f>IFERROR(__xludf.DUMMYFUNCTION("IMPORTRANGE(""https://docs.google.com/spreadsheets/d/1bozxp9FwhaCNzy-RRGPVPfVYTttO4PUGDdaFvbz-Ue0/edit?gid=1870218791#gid=1870218791"", ""Rev vs Mktg &amp; Mktg Mix!u"" &amp; ROW(Z43))
"),10.217)</f>
        <v>10.217</v>
      </c>
      <c r="V105" s="43"/>
      <c r="W105" s="43"/>
      <c r="X105" s="45">
        <f>VLOOKUP(VALUE(LEFT($A107, 4)), 'Raw Annual Revenue'!$A:X, 24, FALSE) / 4
</f>
        <v>378176.25</v>
      </c>
      <c r="Y105" s="46">
        <f>VLOOKUP(VALUE(LEFT(A105, 4)), 'Raw Annual Revenue'!A:Y, 25, FALSE) / 4</f>
        <v>85651.1215</v>
      </c>
      <c r="Z105" s="46">
        <f>VLOOKUP(VALUE(LEFT($A105, 4)), 'Raw Annual Revenue'!$A:Z, 26, FALSE) / 4</f>
        <v>28811.75</v>
      </c>
      <c r="AA105" s="46">
        <f>VLOOKUP(VALUE(LEFT($A105, 4)), 'Raw Annual Revenue'!$A:AA, 27, FALSE) / 4</f>
        <v>66020.25</v>
      </c>
      <c r="AB105" s="46">
        <f>VLOOKUP(VALUE(LEFT($A105, 4)), 'Raw Annual Revenue'!$A:AB, 28, FALSE) / 4</f>
        <v>2910</v>
      </c>
      <c r="AC105" s="46">
        <f>VLOOKUP(VALUE(LEFT($A105, 4)), 'Raw Annual Revenue'!$A:AC, 29, FALSE) / 4</f>
        <v>56762.75</v>
      </c>
      <c r="AD105" s="43"/>
    </row>
    <row r="106">
      <c r="A106" s="42" t="s">
        <v>133</v>
      </c>
      <c r="B106" s="54">
        <f>IFERROR(__xludf.DUMMYFUNCTION("IMPORTRANGE(""https://docs.google.com/spreadsheets/d/1bozxp9FwhaCNzy-RRGPVPfVYTttO4PUGDdaFvbz-Ue0/edit?gid=1870218791#gid=1870218791"", ""Rev vs Mktg &amp; Mktg Mix!B"" &amp; ROW(A44))
"),1902.0)</f>
        <v>1902</v>
      </c>
      <c r="C106" s="54">
        <f>IFERROR(__xludf.DUMMYFUNCTION("IMPORTRANGE(""https://docs.google.com/spreadsheets/d/1bozxp9FwhaCNzy-RRGPVPfVYTttO4PUGDdaFvbz-Ue0/edit?gid=1870218791#gid=1870218791"", ""Rev vs Mktg &amp; Mktg Mix!C"" &amp; ROW(B44))
"),4049.0)</f>
        <v>4049</v>
      </c>
      <c r="D106" s="54">
        <f>IFERROR(__xludf.DUMMYFUNCTION("IMPORTRANGE(""https://docs.google.com/spreadsheets/d/1bozxp9FwhaCNzy-RRGPVPfVYTttO4PUGDdaFvbz-Ue0/edit?gid=1870218791#gid=1870218791"", ""Rev vs Mktg &amp; Mktg Mix!D"" &amp; ROW(C44))
"),2618.0)</f>
        <v>2618</v>
      </c>
      <c r="E106" s="54">
        <f>IFERROR(__xludf.DUMMYFUNCTION("IMPORTRANGE(""https://docs.google.com/spreadsheets/d/1bozxp9FwhaCNzy-RRGPVPfVYTttO4PUGDdaFvbz-Ue0/edit?gid=1870218791#gid=1870218791"", ""Rev vs Mktg &amp; Mktg Mix!E"" &amp; ROW(E44))
"),730.0)</f>
        <v>730</v>
      </c>
      <c r="F106" s="54">
        <f>IFERROR(__xludf.DUMMYFUNCTION("IMPORTRANGE(""https://docs.google.com/spreadsheets/d/1bozxp9FwhaCNzy-RRGPVPfVYTttO4PUGDdaFvbz-Ue0/edit?gid=1870218791#gid=1870218791"", ""Rev vs Mktg &amp; Mktg Mix!F"" &amp; ROW(G44))
"),354.0)</f>
        <v>354</v>
      </c>
      <c r="G106" s="54">
        <f>IFERROR(__xludf.DUMMYFUNCTION("IMPORTRANGE(""https://docs.google.com/spreadsheets/d/1bozxp9FwhaCNzy-RRGPVPfVYTttO4PUGDdaFvbz-Ue0/edit?gid=1870218791#gid=1870218791"", ""Rev vs Mktg &amp; Mktg Mix!G"" &amp; ROW(I44))
"),104.889)</f>
        <v>104.889</v>
      </c>
      <c r="H106" s="58">
        <f>IFERROR(__xludf.DUMMYFUNCTION("IMPORTRANGE(""https://docs.google.com/spreadsheets/d/1bozxp9FwhaCNzy-RRGPVPfVYTttO4PUGDdaFvbz-Ue0/edit?gid=1870218791#gid=1870218791"", ""Rev vs Mktg &amp; Mktg Mix!H"" &amp; ROW(H44))
"),143.55)</f>
        <v>143.55</v>
      </c>
      <c r="I106" s="58">
        <f>IFERROR(__xludf.DUMMYFUNCTION("IMPORTRANGE(""https://docs.google.com/spreadsheets/d/1bozxp9FwhaCNzy-RRGPVPfVYTttO4PUGDdaFvbz-Ue0/edit?gid=1870218791#gid=1870218791"", ""Rev vs Mktg &amp; Mktg Mix!I"" &amp; ROW(K44))
"),145.542)</f>
        <v>145.542</v>
      </c>
      <c r="J106" s="58">
        <f>IFERROR(__xludf.DUMMYFUNCTION("IMPORTRANGE(""https://docs.google.com/spreadsheets/d/1bozxp9FwhaCNzy-RRGPVPfVYTttO4PUGDdaFvbz-Ue0/edit?gid=1870218791#gid=1870218791"", ""Rev vs Mktg &amp; Mktg Mix!J"" &amp; ROW(J44))
"),170.526)</f>
        <v>170.526</v>
      </c>
      <c r="K106" s="46">
        <f>VLOOKUP(VALUE(LEFT(A109, 4)), 'Raw Annual Revenue'!A:K, 11, FALSE) / 4</f>
        <v>15251.75</v>
      </c>
      <c r="L106" s="58">
        <f>IFERROR(__xludf.DUMMYFUNCTION("IMPORTRANGE(""https://docs.google.com/spreadsheets/d/1bozxp9FwhaCNzy-RRGPVPfVYTttO4PUGDdaFvbz-Ue0/edit?gid=1870218791#gid=1870218791"", ""Rev vs Mktg &amp; Mktg Mix!L"" &amp; ROW(N44))
"),77.12589846569999)</f>
        <v>77.12589847</v>
      </c>
      <c r="M106" s="57">
        <f>IFERROR(__xludf.DUMMYFUNCTION("IMPORTRANGE(""https://docs.google.com/spreadsheets/d/1bozxp9FwhaCNzy-RRGPVPfVYTttO4PUGDdaFvbz-Ue0/edit?gid=1870218791#gid=1870218791"", ""Rev vs Mktg &amp; Mktg Mix!M"" &amp; ROW(M44))
"),30.6705)</f>
        <v>30.6705</v>
      </c>
      <c r="N106" s="57">
        <f>IFERROR(__xludf.DUMMYFUNCTION("IMPORTRANGE(""https://docs.google.com/spreadsheets/d/1bozxp9FwhaCNzy-RRGPVPfVYTttO4PUGDdaFvbz-Ue0/edit?gid=1870218791#gid=1870218791"", ""Rev vs Mktg &amp; Mktg Mix!N"" &amp; ROW(N44))
"),5.487)</f>
        <v>5.487</v>
      </c>
      <c r="O106" s="57">
        <f>IFERROR(__xludf.DUMMYFUNCTION("IMPORTRANGE(""https://docs.google.com/spreadsheets/d/1bozxp9FwhaCNzy-RRGPVPfVYTttO4PUGDdaFvbz-Ue0/edit?gid=1870218791#gid=1870218791"", ""Rev vs Mktg &amp; Mktg Mix!O"" &amp; ROW(O44))
"),61.29499999999999)</f>
        <v>61.295</v>
      </c>
      <c r="P106" s="57">
        <f>IFERROR(__xludf.DUMMYFUNCTION("IMPORTRANGE(""https://docs.google.com/spreadsheets/d/1bozxp9FwhaCNzy-RRGPVPfVYTttO4PUGDdaFvbz-Ue0/edit?gid=1870218791#gid=1870218791"", ""Rev vs Mktg &amp; Mktg Mix!P"" &amp; ROW(P44))
"),18.2)</f>
        <v>18.2</v>
      </c>
      <c r="Q106" s="57"/>
      <c r="R106" s="46"/>
      <c r="S106" s="46">
        <f>VLOOKUP(VALUE(LEFT(A106, 4)), 'Raw Annual Revenue'!A:S, 19, FALSE) / 4</f>
        <v>82029.5</v>
      </c>
      <c r="T106" s="68">
        <f>IFERROR(__xludf.DUMMYFUNCTION("IMPORTRANGE(""https://docs.google.com/spreadsheets/d/1bozxp9FwhaCNzy-RRGPVPfVYTttO4PUGDdaFvbz-Ue0/edit?gid=1870218791#gid=1870218791"", ""Rev vs Mktg &amp; Mktg Mix!T"" &amp; ROW(Y44))*1000
"),15790.705882352942)</f>
        <v>15790.70588</v>
      </c>
      <c r="U106" s="60">
        <f>IFERROR(__xludf.DUMMYFUNCTION("IMPORTRANGE(""https://docs.google.com/spreadsheets/d/1bozxp9FwhaCNzy-RRGPVPfVYTttO4PUGDdaFvbz-Ue0/edit?gid=1870218791#gid=1870218791"", ""Rev vs Mktg &amp; Mktg Mix!u"" &amp; ROW(Z44))
"),10.911)</f>
        <v>10.911</v>
      </c>
      <c r="V106" s="43"/>
      <c r="W106" s="43"/>
      <c r="X106" s="45">
        <f>VLOOKUP(VALUE(LEFT($A108, 4)), 'Raw Annual Revenue'!$A:X, 24, FALSE) / 4
</f>
        <v>378176.25</v>
      </c>
      <c r="Y106" s="46">
        <f>VLOOKUP(VALUE(LEFT(A106, 4)), 'Raw Annual Revenue'!A:Y, 25, FALSE) / 4</f>
        <v>85651.1215</v>
      </c>
      <c r="Z106" s="46">
        <f>VLOOKUP(VALUE(LEFT($A106, 4)), 'Raw Annual Revenue'!$A:Z, 26, FALSE) / 4</f>
        <v>28811.75</v>
      </c>
      <c r="AA106" s="46">
        <f>VLOOKUP(VALUE(LEFT($A106, 4)), 'Raw Annual Revenue'!$A:AA, 27, FALSE) / 4</f>
        <v>66020.25</v>
      </c>
      <c r="AB106" s="46">
        <f>VLOOKUP(VALUE(LEFT($A106, 4)), 'Raw Annual Revenue'!$A:AB, 28, FALSE) / 4</f>
        <v>2910</v>
      </c>
      <c r="AC106" s="46">
        <f>VLOOKUP(VALUE(LEFT($A106, 4)), 'Raw Annual Revenue'!$A:AC, 29, FALSE) / 4</f>
        <v>56762.75</v>
      </c>
      <c r="AD106" s="43"/>
    </row>
    <row r="107">
      <c r="A107" s="42" t="s">
        <v>134</v>
      </c>
      <c r="B107" s="54">
        <f>IFERROR(__xludf.DUMMYFUNCTION("IMPORTRANGE(""https://docs.google.com/spreadsheets/d/1bozxp9FwhaCNzy-RRGPVPfVYTttO4PUGDdaFvbz-Ue0/edit?gid=1870218791#gid=1870218791"", ""Rev vs Mktg &amp; Mktg Mix!B"" &amp; ROW(A45))
"),1818.0)</f>
        <v>1818</v>
      </c>
      <c r="C107" s="54">
        <f>IFERROR(__xludf.DUMMYFUNCTION("IMPORTRANGE(""https://docs.google.com/spreadsheets/d/1bozxp9FwhaCNzy-RRGPVPfVYTttO4PUGDdaFvbz-Ue0/edit?gid=1870218791#gid=1870218791"", ""Rev vs Mktg &amp; Mktg Mix!C"" &amp; ROW(B45))
"),3778.0)</f>
        <v>3778</v>
      </c>
      <c r="D107" s="54">
        <f>IFERROR(__xludf.DUMMYFUNCTION("IMPORTRANGE(""https://docs.google.com/spreadsheets/d/1bozxp9FwhaCNzy-RRGPVPfVYTttO4PUGDdaFvbz-Ue0/edit?gid=1870218791#gid=1870218791"", ""Rev vs Mktg &amp; Mktg Mix!D"" &amp; ROW(C45))
"),2665.0)</f>
        <v>2665</v>
      </c>
      <c r="E107" s="54">
        <f>IFERROR(__xludf.DUMMYFUNCTION("IMPORTRANGE(""https://docs.google.com/spreadsheets/d/1bozxp9FwhaCNzy-RRGPVPfVYTttO4PUGDdaFvbz-Ue0/edit?gid=1870218791#gid=1870218791"", ""Rev vs Mktg &amp; Mktg Mix!E"" &amp; ROW(E45))
"),1341.0)</f>
        <v>1341</v>
      </c>
      <c r="F107" s="54">
        <f>IFERROR(__xludf.DUMMYFUNCTION("IMPORTRANGE(""https://docs.google.com/spreadsheets/d/1bozxp9FwhaCNzy-RRGPVPfVYTttO4PUGDdaFvbz-Ue0/edit?gid=1870218791#gid=1870218791"", ""Rev vs Mktg &amp; Mktg Mix!F"" &amp; ROW(G45))
"),371.0)</f>
        <v>371</v>
      </c>
      <c r="G107" s="54">
        <f>IFERROR(__xludf.DUMMYFUNCTION("IMPORTRANGE(""https://docs.google.com/spreadsheets/d/1bozxp9FwhaCNzy-RRGPVPfVYTttO4PUGDdaFvbz-Ue0/edit?gid=1870218791#gid=1870218791"", ""Rev vs Mktg &amp; Mktg Mix!G"" &amp; ROW(I45))
"),111.036)</f>
        <v>111.036</v>
      </c>
      <c r="H107" s="58">
        <f>IFERROR(__xludf.DUMMYFUNCTION("IMPORTRANGE(""https://docs.google.com/spreadsheets/d/1bozxp9FwhaCNzy-RRGPVPfVYTttO4PUGDdaFvbz-Ue0/edit?gid=1870218791#gid=1870218791"", ""Rev vs Mktg &amp; Mktg Mix!H"" &amp; ROW(H45))
"),165.11)</f>
        <v>165.11</v>
      </c>
      <c r="I107" s="58">
        <f>IFERROR(__xludf.DUMMYFUNCTION("IMPORTRANGE(""https://docs.google.com/spreadsheets/d/1bozxp9FwhaCNzy-RRGPVPfVYTttO4PUGDdaFvbz-Ue0/edit?gid=1870218791#gid=1870218791"", ""Rev vs Mktg &amp; Mktg Mix!I"" &amp; ROW(K45))
"),158.707)</f>
        <v>158.707</v>
      </c>
      <c r="J107" s="58">
        <f>IFERROR(__xludf.DUMMYFUNCTION("IMPORTRANGE(""https://docs.google.com/spreadsheets/d/1bozxp9FwhaCNzy-RRGPVPfVYTttO4PUGDdaFvbz-Ue0/edit?gid=1870218791#gid=1870218791"", ""Rev vs Mktg &amp; Mktg Mix!J"" &amp; ROW(J45))
"),148.523)</f>
        <v>148.523</v>
      </c>
      <c r="K107" s="61">
        <f>IFERROR(__xludf.DUMMYFUNCTION("IMPORTRANGE(""https://docs.google.com/spreadsheets/d/1bozxp9FwhaCNzy-RRGPVPfVYTttO4PUGDdaFvbz-Ue0/edit?gid=1870218791#gid=1870218791"", ""Rev vs Mktg &amp; Mktg Mix!K"" &amp; ROW(K45))*1000
"),16335.529411764706)</f>
        <v>16335.52941</v>
      </c>
      <c r="L107" s="58">
        <f>IFERROR(__xludf.DUMMYFUNCTION("IMPORTRANGE(""https://docs.google.com/spreadsheets/d/1bozxp9FwhaCNzy-RRGPVPfVYTttO4PUGDdaFvbz-Ue0/edit?gid=1870218791#gid=1870218791"", ""Rev vs Mktg &amp; Mktg Mix!L"" &amp; ROW(N45))
"),83.1454142778)</f>
        <v>83.14541428</v>
      </c>
      <c r="M107" s="57">
        <f>IFERROR(__xludf.DUMMYFUNCTION("IMPORTRANGE(""https://docs.google.com/spreadsheets/d/1bozxp9FwhaCNzy-RRGPVPfVYTttO4PUGDdaFvbz-Ue0/edit?gid=1870218791#gid=1870218791"", ""Rev vs Mktg &amp; Mktg Mix!M"" &amp; ROW(M45))
"),45.0723)</f>
        <v>45.0723</v>
      </c>
      <c r="N107" s="57">
        <f>IFERROR(__xludf.DUMMYFUNCTION("IMPORTRANGE(""https://docs.google.com/spreadsheets/d/1bozxp9FwhaCNzy-RRGPVPfVYTttO4PUGDdaFvbz-Ue0/edit?gid=1870218791#gid=1870218791"", ""Rev vs Mktg &amp; Mktg Mix!N"" &amp; ROW(N45))
"),6.419)</f>
        <v>6.419</v>
      </c>
      <c r="O107" s="57">
        <f>IFERROR(__xludf.DUMMYFUNCTION("IMPORTRANGE(""https://docs.google.com/spreadsheets/d/1bozxp9FwhaCNzy-RRGPVPfVYTttO4PUGDdaFvbz-Ue0/edit?gid=1870218791#gid=1870218791"", ""Rev vs Mktg &amp; Mktg Mix!O"" &amp; ROW(O45))
"),61.29499999999999)</f>
        <v>61.295</v>
      </c>
      <c r="P107" s="57">
        <f>IFERROR(__xludf.DUMMYFUNCTION("IMPORTRANGE(""https://docs.google.com/spreadsheets/d/1bozxp9FwhaCNzy-RRGPVPfVYTttO4PUGDdaFvbz-Ue0/edit?gid=1870218791#gid=1870218791"", ""Rev vs Mktg &amp; Mktg Mix!P"" &amp; ROW(P45))
"),18.2)</f>
        <v>18.2</v>
      </c>
      <c r="Q107" s="57"/>
      <c r="R107" s="61"/>
      <c r="S107" s="61">
        <f>IFERROR(__xludf.DUMMYFUNCTION("IMPORTRANGE(""https://docs.google.com/spreadsheets/d/1bozxp9FwhaCNzy-RRGPVPfVYTttO4PUGDdaFvbz-Ue0/edit?gid=1870218791#gid=1870218791"", ""Rev vs Mktg &amp; Mktg Mix!S"" &amp; ROW(T45))*1000
"),98010.0)</f>
        <v>98010</v>
      </c>
      <c r="T107" s="68">
        <f>IFERROR(__xludf.DUMMYFUNCTION("IMPORTRANGE(""https://docs.google.com/spreadsheets/d/1bozxp9FwhaCNzy-RRGPVPfVYTttO4PUGDdaFvbz-Ue0/edit?gid=1870218791#gid=1870218791"", ""Rev vs Mktg &amp; Mktg Mix!T"" &amp; ROW(Y45))*1000
"),13624.35294117647)</f>
        <v>13624.35294</v>
      </c>
      <c r="U107" s="60">
        <f>IFERROR(__xludf.DUMMYFUNCTION("IMPORTRANGE(""https://docs.google.com/spreadsheets/d/1bozxp9FwhaCNzy-RRGPVPfVYTttO4PUGDdaFvbz-Ue0/edit?gid=1870218791#gid=1870218791"", ""Rev vs Mktg &amp; Mktg Mix!u"" &amp; ROW(Z45))
"),14.531)</f>
        <v>14.531</v>
      </c>
      <c r="V107" s="43"/>
      <c r="W107" s="43"/>
      <c r="X107" s="45">
        <f>VLOOKUP(VALUE(LEFT($A109, 4)), 'Raw Annual Revenue'!$A:X, 24, FALSE) / 4
</f>
        <v>378176.25</v>
      </c>
      <c r="Y107" s="46">
        <f>VLOOKUP(VALUE(LEFT(A107, 4)), 'Raw Annual Revenue'!A:Y, 25, FALSE) / 4</f>
        <v>109197.5</v>
      </c>
      <c r="Z107" s="46">
        <f>VLOOKUP(VALUE(LEFT($A107, 4)), 'Raw Annual Revenue'!$A:Z, 26, FALSE) / 4</f>
        <v>51823.75</v>
      </c>
      <c r="AA107" s="46">
        <f>VLOOKUP(VALUE(LEFT($A107, 4)), 'Raw Annual Revenue'!$A:AA, 27, FALSE) / 4</f>
        <v>78524</v>
      </c>
      <c r="AB107" s="50"/>
      <c r="AC107" s="46">
        <f>VLOOKUP(VALUE(LEFT($A107, 4)), 'Raw Annual Revenue'!$A:AC, 29, FALSE) / 4</f>
        <v>74501</v>
      </c>
      <c r="AD107" s="43"/>
    </row>
    <row r="108">
      <c r="A108" s="42" t="s">
        <v>135</v>
      </c>
      <c r="B108" s="54">
        <f>IFERROR(__xludf.DUMMYFUNCTION("IMPORTRANGE(""https://docs.google.com/spreadsheets/d/1bozxp9FwhaCNzy-RRGPVPfVYTttO4PUGDdaFvbz-Ue0/edit?gid=1870218791#gid=1870218791"", ""Rev vs Mktg &amp; Mktg Mix!B"" &amp; ROW(A46))
"),2484.0)</f>
        <v>2484</v>
      </c>
      <c r="C108" s="54">
        <f>IFERROR(__xludf.DUMMYFUNCTION("IMPORTRANGE(""https://docs.google.com/spreadsheets/d/1bozxp9FwhaCNzy-RRGPVPfVYTttO4PUGDdaFvbz-Ue0/edit?gid=1870218791#gid=1870218791"", ""Rev vs Mktg &amp; Mktg Mix!C"" &amp; ROW(B46))
"),5462.0)</f>
        <v>5462</v>
      </c>
      <c r="D108" s="54">
        <f>IFERROR(__xludf.DUMMYFUNCTION("IMPORTRANGE(""https://docs.google.com/spreadsheets/d/1bozxp9FwhaCNzy-RRGPVPfVYTttO4PUGDdaFvbz-Ue0/edit?gid=1870218791#gid=1870218791"", ""Rev vs Mktg &amp; Mktg Mix!D"" &amp; ROW(C46))
"),3358.0)</f>
        <v>3358</v>
      </c>
      <c r="E108" s="54">
        <f>IFERROR(__xludf.DUMMYFUNCTION("IMPORTRANGE(""https://docs.google.com/spreadsheets/d/1bozxp9FwhaCNzy-RRGPVPfVYTttO4PUGDdaFvbz-Ue0/edit?gid=1870218791#gid=1870218791"", ""Rev vs Mktg &amp; Mktg Mix!E"" &amp; ROW(E46))
"),1554.0)</f>
        <v>1554</v>
      </c>
      <c r="F108" s="54">
        <f>IFERROR(__xludf.DUMMYFUNCTION("IMPORTRANGE(""https://docs.google.com/spreadsheets/d/1bozxp9FwhaCNzy-RRGPVPfVYTttO4PUGDdaFvbz-Ue0/edit?gid=1870218791#gid=1870218791"", ""Rev vs Mktg &amp; Mktg Mix!F"" &amp; ROW(G46))
"),494.0)</f>
        <v>494</v>
      </c>
      <c r="G108" s="54">
        <f>IFERROR(__xludf.DUMMYFUNCTION("IMPORTRANGE(""https://docs.google.com/spreadsheets/d/1bozxp9FwhaCNzy-RRGPVPfVYTttO4PUGDdaFvbz-Ue0/edit?gid=1870218791#gid=1870218791"", ""Rev vs Mktg &amp; Mktg Mix!G"" &amp; ROW(I46))
"),124.436)</f>
        <v>124.436</v>
      </c>
      <c r="H108" s="58">
        <f>IFERROR(__xludf.DUMMYFUNCTION("IMPORTRANGE(""https://docs.google.com/spreadsheets/d/1bozxp9FwhaCNzy-RRGPVPfVYTttO4PUGDdaFvbz-Ue0/edit?gid=1870218791#gid=1870218791"", ""Rev vs Mktg &amp; Mktg Mix!H"" &amp; ROW(H46))
"),173.25)</f>
        <v>173.25</v>
      </c>
      <c r="I108" s="58">
        <f>IFERROR(__xludf.DUMMYFUNCTION("IMPORTRANGE(""https://docs.google.com/spreadsheets/d/1bozxp9FwhaCNzy-RRGPVPfVYTttO4PUGDdaFvbz-Ue0/edit?gid=1870218791#gid=1870218791"", ""Rev vs Mktg &amp; Mktg Mix!I"" &amp; ROW(K46))
"),165.524)</f>
        <v>165.524</v>
      </c>
      <c r="J108" s="58">
        <f>IFERROR(__xludf.DUMMYFUNCTION("IMPORTRANGE(""https://docs.google.com/spreadsheets/d/1bozxp9FwhaCNzy-RRGPVPfVYTttO4PUGDdaFvbz-Ue0/edit?gid=1870218791#gid=1870218791"", ""Rev vs Mktg &amp; Mktg Mix!J"" &amp; ROW(J46))
"),196.731)</f>
        <v>196.731</v>
      </c>
      <c r="K108" s="46">
        <f>IFERROR(__xludf.DUMMYFUNCTION("IMPORTRANGE(""https://docs.google.com/spreadsheets/d/1bozxp9FwhaCNzy-RRGPVPfVYTttO4PUGDdaFvbz-Ue0/edit?gid=1870218791#gid=1870218791"", ""Rev vs Mktg &amp; Mktg Mix!K"" &amp; ROW(K46))*1000
"),18552.70588235294)</f>
        <v>18552.70588</v>
      </c>
      <c r="L108" s="58">
        <f>IFERROR(__xludf.DUMMYFUNCTION("IMPORTRANGE(""https://docs.google.com/spreadsheets/d/1bozxp9FwhaCNzy-RRGPVPfVYTttO4PUGDdaFvbz-Ue0/edit?gid=1870218791#gid=1870218791"", ""Rev vs Mktg &amp; Mktg Mix!L"" &amp; ROW(N46))
"),91.96206448800001)</f>
        <v>91.96206449</v>
      </c>
      <c r="M108" s="57">
        <f>IFERROR(__xludf.DUMMYFUNCTION("IMPORTRANGE(""https://docs.google.com/spreadsheets/d/1bozxp9FwhaCNzy-RRGPVPfVYTttO4PUGDdaFvbz-Ue0/edit?gid=1870218791#gid=1870218791"", ""Rev vs Mktg &amp; Mktg Mix!M"" &amp; ROW(M46))
"),49.6062)</f>
        <v>49.6062</v>
      </c>
      <c r="N108" s="57">
        <f>IFERROR(__xludf.DUMMYFUNCTION("IMPORTRANGE(""https://docs.google.com/spreadsheets/d/1bozxp9FwhaCNzy-RRGPVPfVYTttO4PUGDdaFvbz-Ue0/edit?gid=1870218791#gid=1870218791"", ""Rev vs Mktg &amp; Mktg Mix!N"" &amp; ROW(N46))
"),7.792)</f>
        <v>7.792</v>
      </c>
      <c r="O108" s="57">
        <f>IFERROR(__xludf.DUMMYFUNCTION("IMPORTRANGE(""https://docs.google.com/spreadsheets/d/1bozxp9FwhaCNzy-RRGPVPfVYTttO4PUGDdaFvbz-Ue0/edit?gid=1870218791#gid=1870218791"", ""Rev vs Mktg &amp; Mktg Mix!O"" &amp; ROW(O46))
"),79.4625)</f>
        <v>79.4625</v>
      </c>
      <c r="P108" s="57">
        <f>IFERROR(__xludf.DUMMYFUNCTION("IMPORTRANGE(""https://docs.google.com/spreadsheets/d/1bozxp9FwhaCNzy-RRGPVPfVYTttO4PUGDdaFvbz-Ue0/edit?gid=1870218791#gid=1870218791"", ""Rev vs Mktg &amp; Mktg Mix!P"" &amp; ROW(P46))
"),17.8425)</f>
        <v>17.8425</v>
      </c>
      <c r="Q108" s="57"/>
      <c r="R108" s="69"/>
      <c r="S108" s="69">
        <f>IFERROR(__xludf.DUMMYFUNCTION("IMPORTRANGE(""https://docs.google.com/spreadsheets/d/1bozxp9FwhaCNzy-RRGPVPfVYTttO4PUGDdaFvbz-Ue0/edit?gid=1870218791#gid=1870218791"", ""Rev vs Mktg &amp; Mktg Mix!S"" &amp; ROW(T46))*1000
"),99990.00000000001)</f>
        <v>99990</v>
      </c>
      <c r="T108" s="68">
        <f>IFERROR(__xludf.DUMMYFUNCTION("IMPORTRANGE(""https://docs.google.com/spreadsheets/d/1bozxp9FwhaCNzy-RRGPVPfVYTttO4PUGDdaFvbz-Ue0/edit?gid=1870218791#gid=1870218791"", ""Rev vs Mktg &amp; Mktg Mix!T"" &amp; ROW(Y46))*1000
"),12406.470588235294)</f>
        <v>12406.47059</v>
      </c>
      <c r="U108" s="60">
        <f>IFERROR(__xludf.DUMMYFUNCTION("IMPORTRANGE(""https://docs.google.com/spreadsheets/d/1bozxp9FwhaCNzy-RRGPVPfVYTttO4PUGDdaFvbz-Ue0/edit?gid=1870218791#gid=1870218791"", ""Rev vs Mktg &amp; Mktg Mix!u"" &amp; ROW(Z46))
"),13.476)</f>
        <v>13.476</v>
      </c>
      <c r="V108" s="43"/>
      <c r="W108" s="43"/>
      <c r="X108" s="45">
        <f>VLOOKUP(VALUE(LEFT($A110, 4)), 'Raw Annual Revenue'!$A:X, 24, FALSE) / 4
</f>
        <v>378176.25</v>
      </c>
      <c r="Y108" s="46">
        <f>VLOOKUP(VALUE(LEFT(A108, 4)), 'Raw Annual Revenue'!A:Y, 25, FALSE) / 4</f>
        <v>109197.5</v>
      </c>
      <c r="Z108" s="46">
        <f>VLOOKUP(VALUE(LEFT($A108, 4)), 'Raw Annual Revenue'!$A:Z, 26, FALSE) / 4</f>
        <v>51823.75</v>
      </c>
      <c r="AA108" s="46">
        <f>VLOOKUP(VALUE(LEFT($A108, 4)), 'Raw Annual Revenue'!$A:AA, 27, FALSE) / 4</f>
        <v>78524</v>
      </c>
      <c r="AB108" s="50"/>
      <c r="AC108" s="46">
        <f>VLOOKUP(VALUE(LEFT($A108, 4)), 'Raw Annual Revenue'!$A:AC, 29, FALSE) / 4</f>
        <v>74501</v>
      </c>
      <c r="AD108" s="43"/>
    </row>
    <row r="109">
      <c r="A109" s="42" t="s">
        <v>136</v>
      </c>
      <c r="B109" s="54">
        <f>IFERROR(__xludf.DUMMYFUNCTION("IMPORTRANGE(""https://docs.google.com/spreadsheets/d/1bozxp9FwhaCNzy-RRGPVPfVYTttO4PUGDdaFvbz-Ue0/edit?gid=1870218791#gid=1870218791"", ""Rev vs Mktg &amp; Mktg Mix!B"" &amp; ROW(A47))
"),3397.0)</f>
        <v>3397</v>
      </c>
      <c r="C109" s="54">
        <f>IFERROR(__xludf.DUMMYFUNCTION("IMPORTRANGE(""https://docs.google.com/spreadsheets/d/1bozxp9FwhaCNzy-RRGPVPfVYTttO4PUGDdaFvbz-Ue0/edit?gid=1870218791#gid=1870218791"", ""Rev vs Mktg &amp; Mktg Mix!C"" &amp; ROW(B47))
"),7341.0)</f>
        <v>7341</v>
      </c>
      <c r="D109" s="54">
        <f>IFERROR(__xludf.DUMMYFUNCTION("IMPORTRANGE(""https://docs.google.com/spreadsheets/d/1bozxp9FwhaCNzy-RRGPVPfVYTttO4PUGDdaFvbz-Ue0/edit?gid=1870218791#gid=1870218791"", ""Rev vs Mktg &amp; Mktg Mix!D"" &amp; ROW(C47))
"),3929.0)</f>
        <v>3929</v>
      </c>
      <c r="E109" s="54">
        <f>IFERROR(__xludf.DUMMYFUNCTION("IMPORTRANGE(""https://docs.google.com/spreadsheets/d/1bozxp9FwhaCNzy-RRGPVPfVYTttO4PUGDdaFvbz-Ue0/edit?gid=1870218791#gid=1870218791"", ""Rev vs Mktg &amp; Mktg Mix!E"" &amp; ROW(E47))
"),1885.0)</f>
        <v>1885</v>
      </c>
      <c r="F109" s="54">
        <f>IFERROR(__xludf.DUMMYFUNCTION("IMPORTRANGE(""https://docs.google.com/spreadsheets/d/1bozxp9FwhaCNzy-RRGPVPfVYTttO4PUGDdaFvbz-Ue0/edit?gid=1870218791#gid=1870218791"", ""Rev vs Mktg &amp; Mktg Mix!F"" &amp; ROW(G47))
"),533.0)</f>
        <v>533</v>
      </c>
      <c r="G109" s="54">
        <f>IFERROR(__xludf.DUMMYFUNCTION("IMPORTRANGE(""https://docs.google.com/spreadsheets/d/1bozxp9FwhaCNzy-RRGPVPfVYTttO4PUGDdaFvbz-Ue0/edit?gid=1870218791#gid=1870218791"", ""Rev vs Mktg &amp; Mktg Mix!G"" &amp; ROW(I47))
"),157.862)</f>
        <v>157.862</v>
      </c>
      <c r="H109" s="58">
        <f>IFERROR(__xludf.DUMMYFUNCTION("IMPORTRANGE(""https://docs.google.com/spreadsheets/d/1bozxp9FwhaCNzy-RRGPVPfVYTttO4PUGDdaFvbz-Ue0/edit?gid=1870218791#gid=1870218791"", ""Rev vs Mktg &amp; Mktg Mix!H"" &amp; ROW(H47))
"),186.45000000000002)</f>
        <v>186.45</v>
      </c>
      <c r="I109" s="58">
        <f>IFERROR(__xludf.DUMMYFUNCTION("IMPORTRANGE(""https://docs.google.com/spreadsheets/d/1bozxp9FwhaCNzy-RRGPVPfVYTttO4PUGDdaFvbz-Ue0/edit?gid=1870218791#gid=1870218791"", ""Rev vs Mktg &amp; Mktg Mix!I"" &amp; ROW(K47))
"),178.1)</f>
        <v>178.1</v>
      </c>
      <c r="J109" s="58">
        <f>IFERROR(__xludf.DUMMYFUNCTION("IMPORTRANGE(""https://docs.google.com/spreadsheets/d/1bozxp9FwhaCNzy-RRGPVPfVYTttO4PUGDdaFvbz-Ue0/edit?gid=1870218791#gid=1870218791"", ""Rev vs Mktg &amp; Mktg Mix!J"" &amp; ROW(J47))
"),168.69)</f>
        <v>168.69</v>
      </c>
      <c r="K109" s="46">
        <f>IFERROR(__xludf.DUMMYFUNCTION("IMPORTRANGE(""https://docs.google.com/spreadsheets/d/1bozxp9FwhaCNzy-RRGPVPfVYTttO4PUGDdaFvbz-Ue0/edit?gid=1870218791#gid=1870218791"", ""Rev vs Mktg &amp; Mktg Mix!K"" &amp; ROW(K47))*1000
"),19540.70588235294)</f>
        <v>19540.70588</v>
      </c>
      <c r="L109" s="58">
        <f>IFERROR(__xludf.DUMMYFUNCTION("IMPORTRANGE(""https://docs.google.com/spreadsheets/d/1bozxp9FwhaCNzy-RRGPVPfVYTttO4PUGDdaFvbz-Ue0/edit?gid=1870218791#gid=1870218791"", ""Rev vs Mktg &amp; Mktg Mix!L"" &amp; ROW(N47))
"),94.89137780639999)</f>
        <v>94.89137781</v>
      </c>
      <c r="M109" s="57">
        <f>IFERROR(__xludf.DUMMYFUNCTION("IMPORTRANGE(""https://docs.google.com/spreadsheets/d/1bozxp9FwhaCNzy-RRGPVPfVYTttO4PUGDdaFvbz-Ue0/edit?gid=1870218791#gid=1870218791"", ""Rev vs Mktg &amp; Mktg Mix!M"" &amp; ROW(M47))
"),55.7403)</f>
        <v>55.7403</v>
      </c>
      <c r="N109" s="57">
        <f>IFERROR(__xludf.DUMMYFUNCTION("IMPORTRANGE(""https://docs.google.com/spreadsheets/d/1bozxp9FwhaCNzy-RRGPVPfVYTttO4PUGDdaFvbz-Ue0/edit?gid=1870218791#gid=1870218791"", ""Rev vs Mktg &amp; Mktg Mix!N"" &amp; ROW(N47))
"),8.131)</f>
        <v>8.131</v>
      </c>
      <c r="O109" s="57">
        <f>IFERROR(__xludf.DUMMYFUNCTION("IMPORTRANGE(""https://docs.google.com/spreadsheets/d/1bozxp9FwhaCNzy-RRGPVPfVYTttO4PUGDdaFvbz-Ue0/edit?gid=1870218791#gid=1870218791"", ""Rev vs Mktg &amp; Mktg Mix!O"" &amp; ROW(O47))
"),79.4625)</f>
        <v>79.4625</v>
      </c>
      <c r="P109" s="57">
        <f>IFERROR(__xludf.DUMMYFUNCTION("IMPORTRANGE(""https://docs.google.com/spreadsheets/d/1bozxp9FwhaCNzy-RRGPVPfVYTttO4PUGDdaFvbz-Ue0/edit?gid=1870218791#gid=1870218791"", ""Rev vs Mktg &amp; Mktg Mix!P"" &amp; ROW(P47))
"),17.8425)</f>
        <v>17.8425</v>
      </c>
      <c r="Q109" s="57"/>
      <c r="R109" s="69"/>
      <c r="S109" s="69">
        <f>IFERROR(__xludf.DUMMYFUNCTION("IMPORTRANGE(""https://docs.google.com/spreadsheets/d/1bozxp9FwhaCNzy-RRGPVPfVYTttO4PUGDdaFvbz-Ue0/edit?gid=1870218791#gid=1870218791"", ""Rev vs Mktg &amp; Mktg Mix!S"" &amp; ROW(T47))*1000
"),89650.0)</f>
        <v>89650</v>
      </c>
      <c r="T109" s="68">
        <f>IFERROR(__xludf.DUMMYFUNCTION("IMPORTRANGE(""https://docs.google.com/spreadsheets/d/1bozxp9FwhaCNzy-RRGPVPfVYTttO4PUGDdaFvbz-Ue0/edit?gid=1870218791#gid=1870218791"", ""Rev vs Mktg &amp; Mktg Mix!T"" &amp; ROW(Y47))*1000
"),14527.176470588234)</f>
        <v>14527.17647</v>
      </c>
      <c r="U109" s="60">
        <f>IFERROR(__xludf.DUMMYFUNCTION("IMPORTRANGE(""https://docs.google.com/spreadsheets/d/1bozxp9FwhaCNzy-RRGPVPfVYTttO4PUGDdaFvbz-Ue0/edit?gid=1870218791#gid=1870218791"", ""Rev vs Mktg &amp; Mktg Mix!u"" &amp; ROW(Z47))
"),11.405)</f>
        <v>11.405</v>
      </c>
      <c r="V109" s="43"/>
      <c r="W109" s="43"/>
      <c r="X109" s="45">
        <f>VLOOKUP(VALUE(LEFT($A111, 4)), 'Raw Annual Revenue'!$A:X, 24, FALSE) / 4
</f>
        <v>457716.25</v>
      </c>
      <c r="Y109" s="46">
        <f>VLOOKUP(VALUE(LEFT(A109, 4)), 'Raw Annual Revenue'!A:Y, 25, FALSE) / 4</f>
        <v>109197.5</v>
      </c>
      <c r="Z109" s="46">
        <f>VLOOKUP(VALUE(LEFT($A109, 4)), 'Raw Annual Revenue'!$A:Z, 26, FALSE) / 4</f>
        <v>51823.75</v>
      </c>
      <c r="AA109" s="46">
        <f>VLOOKUP(VALUE(LEFT($A109, 4)), 'Raw Annual Revenue'!$A:AA, 27, FALSE) / 4</f>
        <v>78524</v>
      </c>
      <c r="AB109" s="50"/>
      <c r="AC109" s="46">
        <f>VLOOKUP(VALUE(LEFT($A109, 4)), 'Raw Annual Revenue'!$A:AC, 29, FALSE) / 4</f>
        <v>74501</v>
      </c>
      <c r="AD109" s="43"/>
    </row>
    <row r="110">
      <c r="A110" s="42" t="s">
        <v>137</v>
      </c>
      <c r="B110" s="54">
        <f>IFERROR(__xludf.DUMMYFUNCTION("IMPORTRANGE(""https://docs.google.com/spreadsheets/d/1bozxp9FwhaCNzy-RRGPVPfVYTttO4PUGDdaFvbz-Ue0/edit?gid=1870218791#gid=1870218791"", ""Rev vs Mktg &amp; Mktg Mix!B"" &amp; ROW(A48))
"),2218.0)</f>
        <v>2218</v>
      </c>
      <c r="C110" s="54">
        <f>IFERROR(__xludf.DUMMYFUNCTION("IMPORTRANGE(""https://docs.google.com/spreadsheets/d/1bozxp9FwhaCNzy-RRGPVPfVYTttO4PUGDdaFvbz-Ue0/edit?gid=1870218791#gid=1870218791"", ""Rev vs Mktg &amp; Mktg Mix!C"" &amp; ROW(B48))
"),4784.0)</f>
        <v>4784</v>
      </c>
      <c r="D110" s="54">
        <f>IFERROR(__xludf.DUMMYFUNCTION("IMPORTRANGE(""https://docs.google.com/spreadsheets/d/1bozxp9FwhaCNzy-RRGPVPfVYTttO4PUGDdaFvbz-Ue0/edit?gid=1870218791#gid=1870218791"", ""Rev vs Mktg &amp; Mktg Mix!D"" &amp; ROW(C48))
"),2887.0)</f>
        <v>2887</v>
      </c>
      <c r="E110" s="54">
        <f>IFERROR(__xludf.DUMMYFUNCTION("IMPORTRANGE(""https://docs.google.com/spreadsheets/d/1bozxp9FwhaCNzy-RRGPVPfVYTttO4PUGDdaFvbz-Ue0/edit?gid=1870218791#gid=1870218791"", ""Rev vs Mktg &amp; Mktg Mix!E"" &amp; ROW(E48))
"),1456.0)</f>
        <v>1456</v>
      </c>
      <c r="F110" s="54">
        <f>IFERROR(__xludf.DUMMYFUNCTION("IMPORTRANGE(""https://docs.google.com/spreadsheets/d/1bozxp9FwhaCNzy-RRGPVPfVYTttO4PUGDdaFvbz-Ue0/edit?gid=1870218791#gid=1870218791"", ""Rev vs Mktg &amp; Mktg Mix!F"" &amp; ROW(G48))
"),390.0)</f>
        <v>390</v>
      </c>
      <c r="G110" s="54">
        <f>IFERROR(__xludf.DUMMYFUNCTION("IMPORTRANGE(""https://docs.google.com/spreadsheets/d/1bozxp9FwhaCNzy-RRGPVPfVYTttO4PUGDdaFvbz-Ue0/edit?gid=1870218791#gid=1870218791"", ""Rev vs Mktg &amp; Mktg Mix!G"" &amp; ROW(I48))
"),91.697)</f>
        <v>91.697</v>
      </c>
      <c r="H110" s="58">
        <f>IFERROR(__xludf.DUMMYFUNCTION("IMPORTRANGE(""https://docs.google.com/spreadsheets/d/1bozxp9FwhaCNzy-RRGPVPfVYTttO4PUGDdaFvbz-Ue0/edit?gid=1870218791#gid=1870218791"", ""Rev vs Mktg &amp; Mktg Mix!H"" &amp; ROW(H48))
"),161.92)</f>
        <v>161.92</v>
      </c>
      <c r="I110" s="58">
        <f>IFERROR(__xludf.DUMMYFUNCTION("IMPORTRANGE(""https://docs.google.com/spreadsheets/d/1bozxp9FwhaCNzy-RRGPVPfVYTttO4PUGDdaFvbz-Ue0/edit?gid=1870218791#gid=1870218791"", ""Rev vs Mktg &amp; Mktg Mix!I"" &amp; ROW(K48))
"),203.66)</f>
        <v>203.66</v>
      </c>
      <c r="J110" s="58">
        <f>IFERROR(__xludf.DUMMYFUNCTION("IMPORTRANGE(""https://docs.google.com/spreadsheets/d/1bozxp9FwhaCNzy-RRGPVPfVYTttO4PUGDdaFvbz-Ue0/edit?gid=1870218791#gid=1870218791"", ""Rev vs Mktg &amp; Mktg Mix!J"" &amp; ROW(J48))
"),214.216)</f>
        <v>214.216</v>
      </c>
      <c r="K110" s="46">
        <f>IFERROR(__xludf.DUMMYFUNCTION("IMPORTRANGE(""https://docs.google.com/spreadsheets/d/1bozxp9FwhaCNzy-RRGPVPfVYTttO4PUGDdaFvbz-Ue0/edit?gid=1870218791#gid=1870218791"", ""Rev vs Mktg &amp; Mktg Mix!K"" &amp; ROW(K48))*1000
"),20304.823529411766)</f>
        <v>20304.82353</v>
      </c>
      <c r="L110" s="58">
        <f>IFERROR(__xludf.DUMMYFUNCTION("IMPORTRANGE(""https://docs.google.com/spreadsheets/d/1bozxp9FwhaCNzy-RRGPVPfVYTttO4PUGDdaFvbz-Ue0/edit?gid=1870218791#gid=1870218791"", ""Rev vs Mktg &amp; Mktg Mix!L"" &amp; ROW(N48))
"),106.6247488278)</f>
        <v>106.6247488</v>
      </c>
      <c r="M110" s="57">
        <f>IFERROR(__xludf.DUMMYFUNCTION("IMPORTRANGE(""https://docs.google.com/spreadsheets/d/1bozxp9FwhaCNzy-RRGPVPfVYTttO4PUGDdaFvbz-Ue0/edit?gid=1870218791#gid=1870218791"", ""Rev vs Mktg &amp; Mktg Mix!M"" &amp; ROW(M48))
"),68.7223806906)</f>
        <v>68.72238069</v>
      </c>
      <c r="N110" s="57">
        <f>IFERROR(__xludf.DUMMYFUNCTION("IMPORTRANGE(""https://docs.google.com/spreadsheets/d/1bozxp9FwhaCNzy-RRGPVPfVYTttO4PUGDdaFvbz-Ue0/edit?gid=1870218791#gid=1870218791"", ""Rev vs Mktg &amp; Mktg Mix!N"" &amp; ROW(N48))
"),8.252)</f>
        <v>8.252</v>
      </c>
      <c r="O110" s="57">
        <f>IFERROR(__xludf.DUMMYFUNCTION("IMPORTRANGE(""https://docs.google.com/spreadsheets/d/1bozxp9FwhaCNzy-RRGPVPfVYTttO4PUGDdaFvbz-Ue0/edit?gid=1870218791#gid=1870218791"", ""Rev vs Mktg &amp; Mktg Mix!O"" &amp; ROW(O48))
"),73.775)</f>
        <v>73.775</v>
      </c>
      <c r="P110" s="57">
        <f>IFERROR(__xludf.DUMMYFUNCTION("IMPORTRANGE(""https://docs.google.com/spreadsheets/d/1bozxp9FwhaCNzy-RRGPVPfVYTttO4PUGDdaFvbz-Ue0/edit?gid=1870218791#gid=1870218791"", ""Rev vs Mktg &amp; Mktg Mix!P"" &amp; ROW(P48))
"),19.5)</f>
        <v>19.5</v>
      </c>
      <c r="Q110" s="57"/>
      <c r="R110" s="69"/>
      <c r="S110" s="69">
        <f>IFERROR(__xludf.DUMMYFUNCTION("IMPORTRANGE(""https://docs.google.com/spreadsheets/d/1bozxp9FwhaCNzy-RRGPVPfVYTttO4PUGDdaFvbz-Ue0/edit?gid=1870218791#gid=1870218791"", ""Rev vs Mktg &amp; Mktg Mix!S"" &amp; ROW(T48))*1000
"),65780.0)</f>
        <v>65780</v>
      </c>
      <c r="T110" s="68">
        <f>IFERROR(__xludf.DUMMYFUNCTION("IMPORTRANGE(""https://docs.google.com/spreadsheets/d/1bozxp9FwhaCNzy-RRGPVPfVYTttO4PUGDdaFvbz-Ue0/edit?gid=1870218791#gid=1870218791"", ""Rev vs Mktg &amp; Mktg Mix!T"" &amp; ROW(Y48))*1000
"),15680.352941176468)</f>
        <v>15680.35294</v>
      </c>
      <c r="U110" s="60">
        <f>IFERROR(__xludf.DUMMYFUNCTION("IMPORTRANGE(""https://docs.google.com/spreadsheets/d/1bozxp9FwhaCNzy-RRGPVPfVYTttO4PUGDdaFvbz-Ue0/edit?gid=1870218791#gid=1870218791"", ""Rev vs Mktg &amp; Mktg Mix!u"" &amp; ROW(Z48))
"),13.368)</f>
        <v>13.368</v>
      </c>
      <c r="V110" s="43"/>
      <c r="W110" s="43"/>
      <c r="X110" s="45">
        <f>VLOOKUP(VALUE(LEFT($A112, 4)), 'Raw Annual Revenue'!$A:X, 24, FALSE) / 4
</f>
        <v>457716.25</v>
      </c>
      <c r="Y110" s="46">
        <f>VLOOKUP(VALUE(LEFT(A110, 4)), 'Raw Annual Revenue'!A:Y, 25, FALSE) / 4</f>
        <v>109197.5</v>
      </c>
      <c r="Z110" s="46">
        <f>VLOOKUP(VALUE(LEFT($A110, 4)), 'Raw Annual Revenue'!$A:Z, 26, FALSE) / 4</f>
        <v>51823.75</v>
      </c>
      <c r="AA110" s="46">
        <f>VLOOKUP(VALUE(LEFT($A110, 4)), 'Raw Annual Revenue'!$A:AA, 27, FALSE) / 4</f>
        <v>78524</v>
      </c>
      <c r="AB110" s="50"/>
      <c r="AC110" s="46">
        <f>VLOOKUP(VALUE(LEFT($A110, 4)), 'Raw Annual Revenue'!$A:AC, 29, FALSE) / 4</f>
        <v>74501</v>
      </c>
      <c r="AD110" s="43"/>
    </row>
    <row r="111">
      <c r="A111" s="42" t="s">
        <v>138</v>
      </c>
      <c r="B111" s="54">
        <f>IFERROR(__xludf.DUMMYFUNCTION("IMPORTRANGE(""https://docs.google.com/spreadsheets/d/1bozxp9FwhaCNzy-RRGPVPfVYTttO4PUGDdaFvbz-Ue0/edit?gid=1870218791#gid=1870218791"", ""Rev vs Mktg &amp; Mktg Mix!B"" &amp; ROW(A49))
"),2142.0)</f>
        <v>2142</v>
      </c>
      <c r="C111" s="54">
        <f>IFERROR(__xludf.DUMMYFUNCTION("IMPORTRANGE(""https://docs.google.com/spreadsheets/d/1bozxp9FwhaCNzy-RRGPVPfVYTttO4PUGDdaFvbz-Ue0/edit?gid=1870218791#gid=1870218791"", ""Rev vs Mktg &amp; Mktg Mix!C"" &amp; ROW(B49))
"),4415.0)</f>
        <v>4415</v>
      </c>
      <c r="D111" s="54">
        <f>IFERROR(__xludf.DUMMYFUNCTION("IMPORTRANGE(""https://docs.google.com/spreadsheets/d/1bozxp9FwhaCNzy-RRGPVPfVYTttO4PUGDdaFvbz-Ue0/edit?gid=1870218791#gid=1870218791"", ""Rev vs Mktg &amp; Mktg Mix!D"" &amp; ROW(C49))
"),2889.0)</f>
        <v>2889</v>
      </c>
      <c r="E111" s="54">
        <f>IFERROR(__xludf.DUMMYFUNCTION("IMPORTRANGE(""https://docs.google.com/spreadsheets/d/1bozxp9FwhaCNzy-RRGPVPfVYTttO4PUGDdaFvbz-Ue0/edit?gid=1870218791#gid=1870218791"", ""Rev vs Mktg &amp; Mktg Mix!E"" &amp; ROW(E49))
"),1651.0)</f>
        <v>1651</v>
      </c>
      <c r="F111" s="54">
        <f>IFERROR(__xludf.DUMMYFUNCTION("IMPORTRANGE(""https://docs.google.com/spreadsheets/d/1bozxp9FwhaCNzy-RRGPVPfVYTttO4PUGDdaFvbz-Ue0/edit?gid=1870218791#gid=1870218791"", ""Rev vs Mktg &amp; Mktg Mix!F"" &amp; ROW(G49))
"),395.0)</f>
        <v>395</v>
      </c>
      <c r="G111" s="54">
        <f>IFERROR(__xludf.DUMMYFUNCTION("IMPORTRANGE(""https://docs.google.com/spreadsheets/d/1bozxp9FwhaCNzy-RRGPVPfVYTttO4PUGDdaFvbz-Ue0/edit?gid=1870218791#gid=1870218791"", ""Rev vs Mktg &amp; Mktg Mix!G"" &amp; ROW(I49))
"),101.43)</f>
        <v>101.43</v>
      </c>
      <c r="H111" s="58">
        <f>IFERROR(__xludf.DUMMYFUNCTION("IMPORTRANGE(""https://docs.google.com/spreadsheets/d/1bozxp9FwhaCNzy-RRGPVPfVYTttO4PUGDdaFvbz-Ue0/edit?gid=1870218791#gid=1870218791"", ""Rev vs Mktg &amp; Mktg Mix!H"" &amp; ROW(H49))
"),185.24)</f>
        <v>185.24</v>
      </c>
      <c r="I111" s="58">
        <f>IFERROR(__xludf.DUMMYFUNCTION("IMPORTRANGE(""https://docs.google.com/spreadsheets/d/1bozxp9FwhaCNzy-RRGPVPfVYTttO4PUGDdaFvbz-Ue0/edit?gid=1870218791#gid=1870218791"", ""Rev vs Mktg &amp; Mktg Mix!I"" &amp; ROW(K49))
"),173.7)</f>
        <v>173.7</v>
      </c>
      <c r="J111" s="58">
        <f>IFERROR(__xludf.DUMMYFUNCTION("IMPORTRANGE(""https://docs.google.com/spreadsheets/d/1bozxp9FwhaCNzy-RRGPVPfVYTttO4PUGDdaFvbz-Ue0/edit?gid=1870218791#gid=1870218791"", ""Rev vs Mktg &amp; Mktg Mix!J"" &amp; ROW(J49))
"),202.887)</f>
        <v>202.887</v>
      </c>
      <c r="K111" s="46">
        <f>IFERROR(__xludf.DUMMYFUNCTION("IMPORTRANGE(""https://docs.google.com/spreadsheets/d/1bozxp9FwhaCNzy-RRGPVPfVYTttO4PUGDdaFvbz-Ue0/edit?gid=1870218791#gid=1870218791"", ""Rev vs Mktg &amp; Mktg Mix!K"" &amp; ROW(K49))*1000
"),19763.88235294118)</f>
        <v>19763.88235</v>
      </c>
      <c r="L111" s="58">
        <f>IFERROR(__xludf.DUMMYFUNCTION("IMPORTRANGE(""https://docs.google.com/spreadsheets/d/1bozxp9FwhaCNzy-RRGPVPfVYTttO4PUGDdaFvbz-Ue0/edit?gid=1870218791#gid=1870218791"", ""Rev vs Mktg &amp; Mktg Mix!L"" &amp; ROW(N49))
"),122.77286709029998)</f>
        <v>122.7728671</v>
      </c>
      <c r="M111" s="57">
        <f>IFERROR(__xludf.DUMMYFUNCTION("IMPORTRANGE(""https://docs.google.com/spreadsheets/d/1bozxp9FwhaCNzy-RRGPVPfVYTttO4PUGDdaFvbz-Ue0/edit?gid=1870218791#gid=1870218791"", ""Rev vs Mktg &amp; Mktg Mix!M"" &amp; ROW(M49))
"),54.2572157043)</f>
        <v>54.2572157</v>
      </c>
      <c r="N111" s="57">
        <f>IFERROR(__xludf.DUMMYFUNCTION("IMPORTRANGE(""https://docs.google.com/spreadsheets/d/1bozxp9FwhaCNzy-RRGPVPfVYTttO4PUGDdaFvbz-Ue0/edit?gid=1870218791#gid=1870218791"", ""Rev vs Mktg &amp; Mktg Mix!N"" &amp; ROW(N49))
"),8.968)</f>
        <v>8.968</v>
      </c>
      <c r="O111" s="57">
        <f>IFERROR(__xludf.DUMMYFUNCTION("IMPORTRANGE(""https://docs.google.com/spreadsheets/d/1bozxp9FwhaCNzy-RRGPVPfVYTttO4PUGDdaFvbz-Ue0/edit?gid=1870218791#gid=1870218791"", ""Rev vs Mktg &amp; Mktg Mix!O"" &amp; ROW(O49))
"),73.775)</f>
        <v>73.775</v>
      </c>
      <c r="P111" s="57">
        <f>IFERROR(__xludf.DUMMYFUNCTION("IMPORTRANGE(""https://docs.google.com/spreadsheets/d/1bozxp9FwhaCNzy-RRGPVPfVYTttO4PUGDdaFvbz-Ue0/edit?gid=1870218791#gid=1870218791"", ""Rev vs Mktg &amp; Mktg Mix!P"" &amp; ROW(P49))
"),19.5)</f>
        <v>19.5</v>
      </c>
      <c r="Q111" s="57"/>
      <c r="R111" s="69"/>
      <c r="S111" s="69">
        <f>IFERROR(__xludf.DUMMYFUNCTION("IMPORTRANGE(""https://docs.google.com/spreadsheets/d/1bozxp9FwhaCNzy-RRGPVPfVYTttO4PUGDdaFvbz-Ue0/edit?gid=1870218791#gid=1870218791"", ""Rev vs Mktg &amp; Mktg Mix!S"" &amp; ROW(T49))*1000
"),86240.00000000001)</f>
        <v>86240</v>
      </c>
      <c r="T111" s="68">
        <f>IFERROR(__xludf.DUMMYFUNCTION("IMPORTRANGE(""https://docs.google.com/spreadsheets/d/1bozxp9FwhaCNzy-RRGPVPfVYTttO4PUGDdaFvbz-Ue0/edit?gid=1870218791#gid=1870218791"", ""Rev vs Mktg &amp; Mktg Mix!T"" &amp; ROW(Y49))*1000
"),16152.70588235294)</f>
        <v>16152.70588</v>
      </c>
      <c r="U111" s="60">
        <f>IFERROR(__xludf.DUMMYFUNCTION("IMPORTRANGE(""https://docs.google.com/spreadsheets/d/1bozxp9FwhaCNzy-RRGPVPfVYTttO4PUGDdaFvbz-Ue0/edit?gid=1870218791#gid=1870218791"", ""Rev vs Mktg &amp; Mktg Mix!u"" &amp; ROW(Z49))
"),12.872)</f>
        <v>12.872</v>
      </c>
      <c r="V111" s="43"/>
      <c r="W111" s="43"/>
      <c r="X111" s="45">
        <f>VLOOKUP(VALUE(LEFT($A113, 4)), 'Raw Annual Revenue'!$A:X, 24, FALSE) / 4
</f>
        <v>457716.25</v>
      </c>
      <c r="Y111" s="46"/>
      <c r="Z111" s="46"/>
      <c r="AA111" s="46"/>
      <c r="AB111" s="46"/>
      <c r="AC111" s="46"/>
      <c r="AD111" s="43"/>
    </row>
    <row r="112">
      <c r="A112" s="42" t="s">
        <v>139</v>
      </c>
      <c r="B112" s="54">
        <f>IFERROR(__xludf.DUMMYFUNCTION("IMPORTRANGE(""https://docs.google.com/spreadsheets/d/1bozxp9FwhaCNzy-RRGPVPfVYTttO4PUGDdaFvbz-Ue0/edit?gid=1870218791#gid=1870218791"", ""Rev vs Mktg &amp; Mktg Mix!B"" &amp; ROW(A50))
"),2748.0)</f>
        <v>2748</v>
      </c>
      <c r="C112" s="54">
        <f>IFERROR(__xludf.DUMMYFUNCTION("IMPORTRANGE(""https://docs.google.com/spreadsheets/d/1bozxp9FwhaCNzy-RRGPVPfVYTttO4PUGDdaFvbz-Ue0/edit?gid=1870218791#gid=1870218791"", ""Rev vs Mktg &amp; Mktg Mix!C"" &amp; ROW(B50))
"),5859.0)</f>
        <v>5859</v>
      </c>
      <c r="D112" s="54">
        <f>IFERROR(__xludf.DUMMYFUNCTION("IMPORTRANGE(""https://docs.google.com/spreadsheets/d/1bozxp9FwhaCNzy-RRGPVPfVYTttO4PUGDdaFvbz-Ue0/edit?gid=1870218791#gid=1870218791"", ""Rev vs Mktg &amp; Mktg Mix!D"" &amp; ROW(C50))
"),3558.0)</f>
        <v>3558</v>
      </c>
      <c r="E112" s="54">
        <f>IFERROR(__xludf.DUMMYFUNCTION("IMPORTRANGE(""https://docs.google.com/spreadsheets/d/1bozxp9FwhaCNzy-RRGPVPfVYTttO4PUGDdaFvbz-Ue0/edit?gid=1870218791#gid=1870218791"", ""Rev vs Mktg &amp; Mktg Mix!E"" &amp; ROW(E50))
"),1759.0)</f>
        <v>1759</v>
      </c>
      <c r="F112" s="54">
        <f>IFERROR(__xludf.DUMMYFUNCTION("IMPORTRANGE(""https://docs.google.com/spreadsheets/d/1bozxp9FwhaCNzy-RRGPVPfVYTttO4PUGDdaFvbz-Ue0/edit?gid=1870218791#gid=1870218791"", ""Rev vs Mktg &amp; Mktg Mix!F"" &amp; ROW(G50))
"),497.0)</f>
        <v>497</v>
      </c>
      <c r="G112" s="54">
        <f>IFERROR(__xludf.DUMMYFUNCTION("IMPORTRANGE(""https://docs.google.com/spreadsheets/d/1bozxp9FwhaCNzy-RRGPVPfVYTttO4PUGDdaFvbz-Ue0/edit?gid=1870218791#gid=1870218791"", ""Rev vs Mktg &amp; Mktg Mix!G"" &amp; ROW(I50))
"),118.557)</f>
        <v>118.557</v>
      </c>
      <c r="H112" s="58">
        <f>IFERROR(__xludf.DUMMYFUNCTION("IMPORTRANGE(""https://docs.google.com/spreadsheets/d/1bozxp9FwhaCNzy-RRGPVPfVYTttO4PUGDdaFvbz-Ue0/edit?gid=1870218791#gid=1870218791"", ""Rev vs Mktg &amp; Mktg Mix!H"" &amp; ROW(H50))
"),176.0)</f>
        <v>176</v>
      </c>
      <c r="I112" s="58">
        <f>IFERROR(__xludf.DUMMYFUNCTION("IMPORTRANGE(""https://docs.google.com/spreadsheets/d/1bozxp9FwhaCNzy-RRGPVPfVYTttO4PUGDdaFvbz-Ue0/edit?gid=1870218791#gid=1870218791"", ""Rev vs Mktg &amp; Mktg Mix!I"" &amp; ROW(K50))
"),185.047)</f>
        <v>185.047</v>
      </c>
      <c r="J112" s="58">
        <f>IFERROR(__xludf.DUMMYFUNCTION("IMPORTRANGE(""https://docs.google.com/spreadsheets/d/1bozxp9FwhaCNzy-RRGPVPfVYTttO4PUGDdaFvbz-Ue0/edit?gid=1870218791#gid=1870218791"", ""Rev vs Mktg &amp; Mktg Mix!J"" &amp; ROW(J50))
"),254.519)</f>
        <v>254.519</v>
      </c>
      <c r="K112" s="46">
        <f>IFERROR(__xludf.DUMMYFUNCTION("IMPORTRANGE(""https://docs.google.com/spreadsheets/d/1bozxp9FwhaCNzy-RRGPVPfVYTttO4PUGDdaFvbz-Ue0/edit?gid=1870218791#gid=1870218791"", ""Rev vs Mktg &amp; Mktg Mix!K"" &amp; ROW(M50))*1000
"),21680.0)</f>
        <v>21680</v>
      </c>
      <c r="L112" s="58">
        <f>IFERROR(__xludf.DUMMYFUNCTION("IMPORTRANGE(""https://docs.google.com/spreadsheets/d/1bozxp9FwhaCNzy-RRGPVPfVYTttO4PUGDdaFvbz-Ue0/edit?gid=1870218791#gid=1870218791"", ""Rev vs Mktg &amp; Mktg Mix!L"" &amp; ROW(N50))
"),115.72963586309999)</f>
        <v>115.7296359</v>
      </c>
      <c r="M112" s="57">
        <f>IFERROR(__xludf.DUMMYFUNCTION("IMPORTRANGE(""https://docs.google.com/spreadsheets/d/1bozxp9FwhaCNzy-RRGPVPfVYTttO4PUGDdaFvbz-Ue0/edit?gid=1870218791#gid=1870218791"", ""Rev vs Mktg &amp; Mktg Mix!M"" &amp; ROW(M50))
"),86.4108)</f>
        <v>86.4108</v>
      </c>
      <c r="N112" s="57">
        <f>IFERROR(__xludf.DUMMYFUNCTION("IMPORTRANGE(""https://docs.google.com/spreadsheets/d/1bozxp9FwhaCNzy-RRGPVPfVYTttO4PUGDdaFvbz-Ue0/edit?gid=1870218791#gid=1870218791"", ""Rev vs Mktg &amp; Mktg Mix!N"" &amp; ROW(N50))
"),12.682)</f>
        <v>12.682</v>
      </c>
      <c r="O112" s="57" t="str">
        <f>IFERROR(__xludf.DUMMYFUNCTION("IMPORTRANGE(""https://docs.google.com/spreadsheets/d/1bozxp9FwhaCNzy-RRGPVPfVYTttO4PUGDdaFvbz-Ue0/edit?gid=1870218791#gid=1870218791"", ""Rev vs Mktg &amp; Mktg Mix!O"" &amp; ROW(O50))
"),"")</f>
        <v/>
      </c>
      <c r="P112" s="57">
        <f>IFERROR(__xludf.DUMMYFUNCTION("IMPORTRANGE(""https://docs.google.com/spreadsheets/d/1bozxp9FwhaCNzy-RRGPVPfVYTttO4PUGDdaFvbz-Ue0/edit?gid=1870218791#gid=1870218791"", ""Rev vs Mktg &amp; Mktg Mix!P"" &amp; ROW(P50))
"),20.1825)</f>
        <v>20.1825</v>
      </c>
      <c r="Q112" s="57"/>
      <c r="R112" s="69"/>
      <c r="S112" s="69">
        <f>IFERROR(__xludf.DUMMYFUNCTION("IMPORTRANGE(""https://docs.google.com/spreadsheets/d/1bozxp9FwhaCNzy-RRGPVPfVYTttO4PUGDdaFvbz-Ue0/edit?gid=1870218791#gid=1870218791"", ""Rev vs Mktg &amp; Mktg Mix!S"" &amp; ROW(T50))*1000
"),94820.0)</f>
        <v>94820</v>
      </c>
      <c r="T112" s="68">
        <f>IFERROR(__xludf.DUMMYFUNCTION("IMPORTRANGE(""https://docs.google.com/spreadsheets/d/1bozxp9FwhaCNzy-RRGPVPfVYTttO4PUGDdaFvbz-Ue0/edit?gid=1870218791#gid=1870218791"", ""Rev vs Mktg &amp; Mktg Mix!T"" &amp; ROW(Y50))*1000
"),12898.470588235294)</f>
        <v>12898.47059</v>
      </c>
      <c r="U112" s="60">
        <f>IFERROR(__xludf.DUMMYFUNCTION("IMPORTRANGE(""https://docs.google.com/spreadsheets/d/1bozxp9FwhaCNzy-RRGPVPfVYTttO4PUGDdaFvbz-Ue0/edit?gid=1870218791#gid=1870218791"", ""Rev vs Mktg &amp; Mktg Mix!u"" &amp; ROW(Z50))
"),12.609)</f>
        <v>12.609</v>
      </c>
      <c r="V112" s="43"/>
      <c r="W112" s="43"/>
      <c r="X112" s="45">
        <f>VLOOKUP(VALUE(LEFT($A114, 4)), 'Raw Annual Revenue'!$A:X, 24, FALSE) / 4
</f>
        <v>457716.25</v>
      </c>
      <c r="Y112" s="46"/>
      <c r="Z112" s="46"/>
      <c r="AA112" s="46"/>
      <c r="AB112" s="46"/>
      <c r="AC112" s="46"/>
      <c r="AD112" s="43"/>
    </row>
    <row r="113">
      <c r="A113" s="42" t="s">
        <v>140</v>
      </c>
      <c r="B113" s="54">
        <f>IFERROR(__xludf.DUMMYFUNCTION("IMPORTRANGE(""https://docs.google.com/spreadsheets/d/1bozxp9FwhaCNzy-RRGPVPfVYTttO4PUGDdaFvbz-Ue0/edit?gid=1870218791#gid=1870218791"", ""Rev vs Mktg &amp; Mktg Mix!B"" &amp; ROW(A51))
"),3732.0)</f>
        <v>3732</v>
      </c>
      <c r="C113" s="54">
        <f>IFERROR(__xludf.DUMMYFUNCTION("IMPORTRANGE(""https://docs.google.com/spreadsheets/d/1bozxp9FwhaCNzy-RRGPVPfVYTttO4PUGDdaFvbz-Ue0/edit?gid=1870218791#gid=1870218791"", ""Rev vs Mktg &amp; Mktg Mix!C"" &amp; ROW(B51))
"),7994.0)</f>
        <v>7994</v>
      </c>
      <c r="D113" s="54">
        <f>IFERROR(__xludf.DUMMYFUNCTION("IMPORTRANGE(""https://docs.google.com/spreadsheets/d/1bozxp9FwhaCNzy-RRGPVPfVYTttO4PUGDdaFvbz-Ue0/edit?gid=1870218791#gid=1870218791"", ""Rev vs Mktg &amp; Mktg Mix!D"" &amp; ROW(C51))
"),4060.0)</f>
        <v>4060</v>
      </c>
      <c r="E113" s="54">
        <f>IFERROR(__xludf.DUMMYFUNCTION("IMPORTRANGE(""https://docs.google.com/spreadsheets/d/1bozxp9FwhaCNzy-RRGPVPfVYTttO4PUGDdaFvbz-Ue0/edit?gid=1870218791#gid=1870218791"", ""Rev vs Mktg &amp; Mktg Mix!E"" &amp; ROW(E51))
"),2265.0)</f>
        <v>2265</v>
      </c>
      <c r="F113" s="54">
        <f>IFERROR(__xludf.DUMMYFUNCTION("IMPORTRANGE(""https://docs.google.com/spreadsheets/d/1bozxp9FwhaCNzy-RRGPVPfVYTttO4PUGDdaFvbz-Ue0/edit?gid=1870218791#gid=1870218791"", ""Rev vs Mktg &amp; Mktg Mix!F"" &amp; ROW(G51))
"),532.0)</f>
        <v>532</v>
      </c>
      <c r="G113" s="54">
        <f>IFERROR(__xludf.DUMMYFUNCTION("IMPORTRANGE(""https://docs.google.com/spreadsheets/d/1bozxp9FwhaCNzy-RRGPVPfVYTttO4PUGDdaFvbz-Ue0/edit?gid=1870218791#gid=1870218791"", ""Rev vs Mktg &amp; Mktg Mix!G"" &amp; ROW(I51))
"),146.087)</f>
        <v>146.087</v>
      </c>
      <c r="H113" s="58">
        <f>IFERROR(__xludf.DUMMYFUNCTION("IMPORTRANGE(""https://docs.google.com/spreadsheets/d/1bozxp9FwhaCNzy-RRGPVPfVYTttO4PUGDdaFvbz-Ue0/edit?gid=1870218791#gid=1870218791"", ""Rev vs Mktg &amp; Mktg Mix!H"" &amp; ROW(H51))
"),184.58000000000004)</f>
        <v>184.58</v>
      </c>
      <c r="I113" s="58">
        <f>IFERROR(__xludf.DUMMYFUNCTION("IMPORTRANGE(""https://docs.google.com/spreadsheets/d/1bozxp9FwhaCNzy-RRGPVPfVYTttO4PUGDdaFvbz-Ue0/edit?gid=1870218791#gid=1870218791"", ""Rev vs Mktg &amp; Mktg Mix!I"" &amp; ROW(K51))
"),193.9)</f>
        <v>193.9</v>
      </c>
      <c r="J113" s="58">
        <f>IFERROR(__xludf.DUMMYFUNCTION("IMPORTRANGE(""https://docs.google.com/spreadsheets/d/1bozxp9FwhaCNzy-RRGPVPfVYTttO4PUGDdaFvbz-Ue0/edit?gid=1870218791#gid=1870218791"", ""Rev vs Mktg &amp; Mktg Mix!J"" &amp; ROW(J51))
"),210.993)</f>
        <v>210.993</v>
      </c>
      <c r="K113" s="46">
        <f>IFERROR(__xludf.DUMMYFUNCTION("IMPORTRANGE(""https://docs.google.com/spreadsheets/d/1bozxp9FwhaCNzy-RRGPVPfVYTttO4PUGDdaFvbz-Ue0/edit?gid=1870218791#gid=1870218791"", ""Rev vs Mktg &amp; Mktg Mix!K"" &amp; ROW(M51))*1000
"),24808.823529411766)</f>
        <v>24808.82353</v>
      </c>
      <c r="L113" s="58">
        <f>IFERROR(__xludf.DUMMYFUNCTION("IMPORTRANGE(""https://docs.google.com/spreadsheets/d/1bozxp9FwhaCNzy-RRGPVPfVYTttO4PUGDdaFvbz-Ue0/edit?gid=1870218791#gid=1870218791"", ""Rev vs Mktg &amp; Mktg Mix!L"" &amp; ROW(N51))
"),117.8816667)</f>
        <v>117.8816667</v>
      </c>
      <c r="M113" s="57">
        <f>IFERROR(__xludf.DUMMYFUNCTION("IMPORTRANGE(""https://docs.google.com/spreadsheets/d/1bozxp9FwhaCNzy-RRGPVPfVYTttO4PUGDdaFvbz-Ue0/edit?gid=1870218791#gid=1870218791"", ""Rev vs Mktg &amp; Mktg Mix!M"" &amp; ROW(M51))
"),56.187881274)</f>
        <v>56.18788127</v>
      </c>
      <c r="N113" s="57">
        <f>IFERROR(__xludf.DUMMYFUNCTION("IMPORTRANGE(""https://docs.google.com/spreadsheets/d/1bozxp9FwhaCNzy-RRGPVPfVYTttO4PUGDdaFvbz-Ue0/edit?gid=1870218791#gid=1870218791"", ""Rev vs Mktg &amp; Mktg Mix!N"" &amp; ROW(N51))
"),14.224)</f>
        <v>14.224</v>
      </c>
      <c r="O113" s="57" t="str">
        <f>IFERROR(__xludf.DUMMYFUNCTION("IMPORTRANGE(""https://docs.google.com/spreadsheets/d/1bozxp9FwhaCNzy-RRGPVPfVYTttO4PUGDdaFvbz-Ue0/edit?gid=1870218791#gid=1870218791"", ""Rev vs Mktg &amp; Mktg Mix!O"" &amp; ROW(O51))
"),"")</f>
        <v/>
      </c>
      <c r="P113" s="57">
        <f>IFERROR(__xludf.DUMMYFUNCTION("IMPORTRANGE(""https://docs.google.com/spreadsheets/d/1bozxp9FwhaCNzy-RRGPVPfVYTttO4PUGDdaFvbz-Ue0/edit?gid=1870218791#gid=1870218791"", ""Rev vs Mktg &amp; Mktg Mix!P"" &amp; ROW(P51))
"),20.1825)</f>
        <v>20.1825</v>
      </c>
      <c r="Q113" s="43"/>
      <c r="R113" s="69"/>
      <c r="S113" s="69">
        <f>IFERROR(__xludf.DUMMYFUNCTION("IMPORTRANGE(""https://docs.google.com/spreadsheets/d/1bozxp9FwhaCNzy-RRGPVPfVYTttO4PUGDdaFvbz-Ue0/edit?gid=1870218791#gid=1870218791"", ""Rev vs Mktg &amp; Mktg Mix!S"" &amp; ROW(T51))*1000
"),95370.0)</f>
        <v>95370</v>
      </c>
      <c r="T113" s="68">
        <f>IFERROR(__xludf.DUMMYFUNCTION("IMPORTRANGE(""https://docs.google.com/spreadsheets/d/1bozxp9FwhaCNzy-RRGPVPfVYTttO4PUGDdaFvbz-Ue0/edit?gid=1870218791#gid=1870218791"", ""Rev vs Mktg &amp; Mktg Mix!T"" &amp; ROW(Y51))*1000
"),12844.470588235294)</f>
        <v>12844.47059</v>
      </c>
      <c r="U113" s="60">
        <f>IFERROR(__xludf.DUMMYFUNCTION("IMPORTRANGE(""https://docs.google.com/spreadsheets/d/1bozxp9FwhaCNzy-RRGPVPfVYTttO4PUGDdaFvbz-Ue0/edit?gid=1870218791#gid=1870218791"", ""Rev vs Mktg &amp; Mktg Mix!u"" &amp; ROW(Z51))
"),28.216)</f>
        <v>28.216</v>
      </c>
      <c r="V113" s="43"/>
      <c r="W113" s="43"/>
      <c r="X113" s="45"/>
      <c r="Y113" s="46"/>
      <c r="Z113" s="46"/>
      <c r="AA113" s="46"/>
      <c r="AB113" s="46"/>
      <c r="AC113" s="46"/>
      <c r="AD113" s="43"/>
    </row>
    <row r="114">
      <c r="A114" s="42" t="s">
        <v>141</v>
      </c>
      <c r="B114" s="54">
        <f>IFERROR(__xludf.DUMMYFUNCTION("IMPORTRANGE(""https://docs.google.com/spreadsheets/d/1bozxp9FwhaCNzy-RRGPVPfVYTttO4PUGDdaFvbz-Ue0/edit?gid=1870218791#gid=1870218791"", ""Rev vs Mktg &amp; Mktg Mix!B"" &amp; ROW(A52))
"),2480.0)</f>
        <v>2480</v>
      </c>
      <c r="C114" s="54">
        <f>IFERROR(__xludf.DUMMYFUNCTION("IMPORTRANGE(""https://docs.google.com/spreadsheets/d/1bozxp9FwhaCNzy-RRGPVPfVYTttO4PUGDdaFvbz-Ue0/edit?gid=1870218791#gid=1870218791"", ""Rev vs Mktg &amp; Mktg Mix!C"" &amp; ROW(B52))
"),5471.0)</f>
        <v>5471</v>
      </c>
      <c r="D114" s="54">
        <f>IFERROR(__xludf.DUMMYFUNCTION("IMPORTRANGE(""https://docs.google.com/spreadsheets/d/1bozxp9FwhaCNzy-RRGPVPfVYTttO4PUGDdaFvbz-Ue0/edit?gid=1870218791#gid=1870218791"", ""Rev vs Mktg &amp; Mktg Mix!D"" &amp; ROW(C52))
"),3184.0)</f>
        <v>3184</v>
      </c>
      <c r="E114" s="54">
        <f>IFERROR(__xludf.DUMMYFUNCTION("IMPORTRANGE(""https://docs.google.com/spreadsheets/d/1bozxp9FwhaCNzy-RRGPVPfVYTttO4PUGDdaFvbz-Ue0/edit?gid=1870218791#gid=1870218791"", ""Rev vs Mktg &amp; Mktg Mix!E"" &amp; ROW(E52))
"),1749.0)</f>
        <v>1749</v>
      </c>
      <c r="F114" s="54">
        <f>IFERROR(__xludf.DUMMYFUNCTION("IMPORTRANGE(""https://docs.google.com/spreadsheets/d/1bozxp9FwhaCNzy-RRGPVPfVYTttO4PUGDdaFvbz-Ue0/edit?gid=1870218791#gid=1870218791"", ""Rev vs Mktg &amp; Mktg Mix!F"" &amp; ROW(G52))
"),411.0)</f>
        <v>411</v>
      </c>
      <c r="G114" s="54">
        <f>IFERROR(__xludf.DUMMYFUNCTION("IMPORTRANGE(""https://docs.google.com/spreadsheets/d/1bozxp9FwhaCNzy-RRGPVPfVYTttO4PUGDdaFvbz-Ue0/edit?gid=1870218791#gid=1870218791"", ""Rev vs Mktg &amp; Mktg Mix!G"" &amp; ROW(I52))
"),94.775)</f>
        <v>94.775</v>
      </c>
      <c r="H114" s="58">
        <f>IFERROR(__xludf.DUMMYFUNCTION("IMPORTRANGE(""https://docs.google.com/spreadsheets/d/1bozxp9FwhaCNzy-RRGPVPfVYTttO4PUGDdaFvbz-Ue0/edit?gid=1870218791#gid=1870218791"", ""Rev vs Mktg &amp; Mktg Mix!H"" &amp; ROW(H52))
"),178.31)</f>
        <v>178.31</v>
      </c>
      <c r="I114" s="52" t="str">
        <f>IFERROR(__xludf.DUMMYFUNCTION("IMPORTRANGE(""https://docs.google.com/spreadsheets/d/1bozxp9FwhaCNzy-RRGPVPfVYTttO4PUGDdaFvbz-Ue0/edit?gid=1870218791#gid=1870218791"", ""Rev vs Mktg &amp; Mktg Mix!I"" &amp; ROW(K52))
"),"")</f>
        <v/>
      </c>
      <c r="J114" s="58">
        <f>IFERROR(__xludf.DUMMYFUNCTION("IMPORTRANGE(""https://docs.google.com/spreadsheets/d/1bozxp9FwhaCNzy-RRGPVPfVYTttO4PUGDdaFvbz-Ue0/edit?gid=1870218791#gid=1870218791"", ""Rev vs Mktg &amp; Mktg Mix!J"" &amp; ROW(J52))
"),267.362)</f>
        <v>267.362</v>
      </c>
      <c r="K114" s="46">
        <f>IFERROR(__xludf.DUMMYFUNCTION("IMPORTRANGE(""https://docs.google.com/spreadsheets/d/1bozxp9FwhaCNzy-RRGPVPfVYTttO4PUGDdaFvbz-Ue0/edit?gid=1870218791#gid=1870218791"", ""Rev vs Mktg &amp; Mktg Mix!K"" &amp; ROW(M52))*1000
"),29057.88235294118)</f>
        <v>29057.88235</v>
      </c>
      <c r="L114" s="52" t="str">
        <f>IFERROR(__xludf.DUMMYFUNCTION("IMPORTRANGE(""https://docs.google.com/spreadsheets/d/1bozxp9FwhaCNzy-RRGPVPfVYTttO4PUGDdaFvbz-Ue0/edit?gid=1870218791#gid=1870218791"", ""Rev vs Mktg &amp; Mktg Mix!L"" &amp; ROW(N52))
"),"")</f>
        <v/>
      </c>
      <c r="M114" s="57" t="str">
        <f>IFERROR(__xludf.DUMMYFUNCTION("IMPORTRANGE(""https://docs.google.com/spreadsheets/d/1bozxp9FwhaCNzy-RRGPVPfVYTttO4PUGDdaFvbz-Ue0/edit?gid=1870218791#gid=1870218791"", ""Rev vs Mktg &amp; Mktg Mix!M"" &amp; ROW(M52))
"),"")</f>
        <v/>
      </c>
      <c r="N114" s="57">
        <f>IFERROR(__xludf.DUMMYFUNCTION("IMPORTRANGE(""https://docs.google.com/spreadsheets/d/1bozxp9FwhaCNzy-RRGPVPfVYTttO4PUGDdaFvbz-Ue0/edit?gid=1870218791#gid=1870218791"", ""Rev vs Mktg &amp; Mktg Mix!N"" &amp; ROW(N52))
"),13.857)</f>
        <v>13.857</v>
      </c>
      <c r="O114" s="57" t="str">
        <f>IFERROR(__xludf.DUMMYFUNCTION("IMPORTRANGE(""https://docs.google.com/spreadsheets/d/1bozxp9FwhaCNzy-RRGPVPfVYTttO4PUGDdaFvbz-Ue0/edit?gid=1870218791#gid=1870218791"", ""Rev vs Mktg &amp; Mktg Mix!O"" &amp; ROW(O52))
"),"")</f>
        <v/>
      </c>
      <c r="P114" s="57" t="str">
        <f>IFERROR(__xludf.DUMMYFUNCTION("IMPORTRANGE(""https://docs.google.com/spreadsheets/d/1bozxp9FwhaCNzy-RRGPVPfVYTttO4PUGDdaFvbz-Ue0/edit?gid=1870218791#gid=1870218791"", ""Rev vs Mktg &amp; Mktg Mix!P"" &amp; ROW(P52))
"),"")</f>
        <v/>
      </c>
      <c r="Q114" s="43"/>
      <c r="R114" s="69"/>
      <c r="S114" s="69">
        <f>IFERROR(__xludf.DUMMYFUNCTION("IMPORTRANGE(""https://docs.google.com/spreadsheets/d/1bozxp9FwhaCNzy-RRGPVPfVYTttO4PUGDdaFvbz-Ue0/edit?gid=1870218791#gid=1870218791"", ""Rev vs Mktg &amp; Mktg Mix!S"" &amp; ROW(T52))*1000
"),68750.0)</f>
        <v>68750</v>
      </c>
      <c r="T114" s="68">
        <f>IFERROR(__xludf.DUMMYFUNCTION("IMPORTRANGE(""https://docs.google.com/spreadsheets/d/1bozxp9FwhaCNzy-RRGPVPfVYTttO4PUGDdaFvbz-Ue0/edit?gid=1870218791#gid=1870218791"", ""Rev vs Mktg &amp; Mktg Mix!T"" &amp; ROW(Y52))*1000
"),13002.94117647059)</f>
        <v>13002.94118</v>
      </c>
      <c r="U114" s="60">
        <f>IFERROR(__xludf.DUMMYFUNCTION("IMPORTRANGE(""https://docs.google.com/spreadsheets/d/1bozxp9FwhaCNzy-RRGPVPfVYTttO4PUGDdaFvbz-Ue0/edit?gid=1870218791#gid=1870218791"", ""Rev vs Mktg &amp; Mktg Mix!u"" &amp; ROW(Z52))
"),27.478)</f>
        <v>27.478</v>
      </c>
      <c r="V114" s="43"/>
      <c r="W114" s="43"/>
      <c r="X114" s="45"/>
      <c r="Y114" s="46"/>
      <c r="Z114" s="46"/>
      <c r="AA114" s="46"/>
      <c r="AB114" s="46"/>
      <c r="AC114" s="46"/>
      <c r="AD114" s="43"/>
    </row>
    <row r="115">
      <c r="A115" s="43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43"/>
    </row>
    <row r="116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52"/>
      <c r="L116" s="43"/>
      <c r="M116" s="43"/>
      <c r="N116" s="43"/>
      <c r="O116" s="44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</row>
    <row r="117">
      <c r="A117" s="42" t="s">
        <v>324</v>
      </c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4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</row>
    <row r="118">
      <c r="A118" s="42" t="s">
        <v>30</v>
      </c>
      <c r="B118" s="43"/>
      <c r="C118" s="43"/>
      <c r="D118" s="45">
        <f>VLOOKUP(VALUE(LEFT(A118, 4)), 'Raw Annual EBITDA'!A:D, 4, FALSE) / 4
</f>
        <v>-7108.5</v>
      </c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4"/>
      <c r="P118" s="43"/>
      <c r="Q118" s="43"/>
      <c r="R118" s="43"/>
      <c r="S118" s="43"/>
      <c r="T118" s="43"/>
      <c r="U118" s="43"/>
      <c r="V118" s="43"/>
      <c r="W118" s="45">
        <f>VLOOKUP(VALUE(LEFT($A118, 4)), 'Raw Annual EBITDA'!$A:W, 23, FALSE) / 4
</f>
        <v>-4680</v>
      </c>
      <c r="X118" s="45">
        <f>VLOOKUP(VALUE(LEFT($A120, 4)), 'Raw Annual EBITDA'!$A:X, 24, FALSE) / 4
</f>
        <v>4318.25</v>
      </c>
      <c r="Y118" s="43"/>
      <c r="Z118" s="43"/>
      <c r="AA118" s="43"/>
      <c r="AB118" s="43"/>
      <c r="AC118" s="43"/>
      <c r="AD118" s="43"/>
    </row>
    <row r="119">
      <c r="A119" s="42" t="s">
        <v>31</v>
      </c>
      <c r="B119" s="43"/>
      <c r="C119" s="43"/>
      <c r="D119" s="45">
        <f>VLOOKUP(VALUE(LEFT(A119, 4)), 'Raw Annual EBITDA'!A:D, 4, FALSE) / 4
</f>
        <v>-7108.5</v>
      </c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4"/>
      <c r="P119" s="43"/>
      <c r="Q119" s="43"/>
      <c r="R119" s="43"/>
      <c r="S119" s="43"/>
      <c r="T119" s="43"/>
      <c r="U119" s="43"/>
      <c r="V119" s="43"/>
      <c r="W119" s="45">
        <f>VLOOKUP(VALUE(LEFT($A119, 4)), 'Raw Annual EBITDA'!$A:W, 23, FALSE) / 4
</f>
        <v>-4680</v>
      </c>
      <c r="X119" s="45">
        <f>VLOOKUP(VALUE(LEFT($A121, 4)), 'Raw Annual EBITDA'!$A:X, 24, FALSE) / 4
</f>
        <v>4318.25</v>
      </c>
      <c r="Y119" s="43"/>
      <c r="Z119" s="43"/>
      <c r="AA119" s="43"/>
      <c r="AB119" s="43"/>
      <c r="AC119" s="43"/>
      <c r="AD119" s="43"/>
    </row>
    <row r="120">
      <c r="A120" s="42" t="s">
        <v>32</v>
      </c>
      <c r="B120" s="43"/>
      <c r="C120" s="43"/>
      <c r="D120" s="45">
        <f>VLOOKUP(VALUE(LEFT(A120, 4)), 'Raw Annual EBITDA'!A:D, 4, FALSE) / 4
</f>
        <v>-7108.5</v>
      </c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7"/>
      <c r="P120" s="43"/>
      <c r="Q120" s="43"/>
      <c r="R120" s="43"/>
      <c r="S120" s="43"/>
      <c r="T120" s="43"/>
      <c r="U120" s="43"/>
      <c r="V120" s="43"/>
      <c r="W120" s="45">
        <f>VLOOKUP(VALUE(LEFT($A120, 4)), 'Raw Annual EBITDA'!$A:W, 23, FALSE) / 4
</f>
        <v>-4680</v>
      </c>
      <c r="X120" s="45">
        <f>VLOOKUP(VALUE(LEFT($A122, 4)), 'Raw Annual EBITDA'!$A:X, 24, FALSE) / 4
</f>
        <v>5093</v>
      </c>
      <c r="Y120" s="43"/>
      <c r="Z120" s="43"/>
      <c r="AA120" s="43"/>
      <c r="AB120" s="43"/>
      <c r="AC120" s="43"/>
      <c r="AD120" s="43"/>
    </row>
    <row r="121">
      <c r="A121" s="42" t="s">
        <v>33</v>
      </c>
      <c r="B121" s="43"/>
      <c r="C121" s="43"/>
      <c r="D121" s="45">
        <f>VLOOKUP(VALUE(LEFT(A121, 4)), 'Raw Annual EBITDA'!A:D, 4, FALSE) / 4
</f>
        <v>-7108.5</v>
      </c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7"/>
      <c r="P121" s="43"/>
      <c r="Q121" s="43"/>
      <c r="R121" s="43"/>
      <c r="S121" s="43"/>
      <c r="T121" s="43"/>
      <c r="U121" s="43"/>
      <c r="V121" s="43"/>
      <c r="W121" s="45">
        <f>VLOOKUP(VALUE(LEFT($A121, 4)), 'Raw Annual EBITDA'!$A:W, 23, FALSE) / 4
</f>
        <v>-4680</v>
      </c>
      <c r="X121" s="45">
        <f>VLOOKUP(VALUE(LEFT($A123, 4)), 'Raw Annual EBITDA'!$A:X, 24, FALSE) / 4
</f>
        <v>5093</v>
      </c>
      <c r="Y121" s="43"/>
      <c r="Z121" s="43"/>
      <c r="AA121" s="43"/>
      <c r="AB121" s="43"/>
      <c r="AC121" s="43"/>
      <c r="AD121" s="43"/>
    </row>
    <row r="122">
      <c r="A122" s="42" t="s">
        <v>34</v>
      </c>
      <c r="B122" s="43"/>
      <c r="C122" s="45">
        <f>VLOOKUP(VALUE(LEFT(A122, 4)), 'Raw Annual EBITDA'!A:C, 3, FALSE) / 4
</f>
        <v>-13238</v>
      </c>
      <c r="D122" s="45">
        <f>VLOOKUP(VALUE(LEFT(A122, 4)), 'Raw Annual EBITDA'!A:D, 4, FALSE) / 4
</f>
        <v>-7182</v>
      </c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7"/>
      <c r="P122" s="43"/>
      <c r="Q122" s="43"/>
      <c r="R122" s="43"/>
      <c r="S122" s="43"/>
      <c r="T122" s="43"/>
      <c r="U122" s="43"/>
      <c r="V122" s="43"/>
      <c r="W122" s="45">
        <f>VLOOKUP(VALUE(LEFT($A122, 4)), 'Raw Annual EBITDA'!$A:W, 23, FALSE) / 4
</f>
        <v>-5320</v>
      </c>
      <c r="X122" s="45">
        <f>VLOOKUP(VALUE(LEFT($A124, 4)), 'Raw Annual EBITDA'!$A:X, 24, FALSE) / 4
</f>
        <v>5093</v>
      </c>
      <c r="Y122" s="43"/>
      <c r="Z122" s="43"/>
      <c r="AA122" s="43"/>
      <c r="AB122" s="43"/>
      <c r="AC122" s="43"/>
      <c r="AD122" s="43"/>
    </row>
    <row r="123">
      <c r="A123" s="42" t="s">
        <v>35</v>
      </c>
      <c r="B123" s="43"/>
      <c r="C123" s="45">
        <f>VLOOKUP(VALUE(LEFT(A123, 4)), 'Raw Annual EBITDA'!A:C, 3, FALSE) / 4
</f>
        <v>-13238</v>
      </c>
      <c r="D123" s="45">
        <f>VLOOKUP(VALUE(LEFT(A123, 4)), 'Raw Annual EBITDA'!A:D, 4, FALSE) / 4
</f>
        <v>-7182</v>
      </c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7"/>
      <c r="P123" s="43"/>
      <c r="Q123" s="43"/>
      <c r="R123" s="43"/>
      <c r="S123" s="43"/>
      <c r="T123" s="43"/>
      <c r="U123" s="43"/>
      <c r="V123" s="43"/>
      <c r="W123" s="45">
        <f>VLOOKUP(VALUE(LEFT($A123, 4)), 'Raw Annual EBITDA'!$A:W, 23, FALSE) / 4
</f>
        <v>-5320</v>
      </c>
      <c r="X123" s="45">
        <f>VLOOKUP(VALUE(LEFT($A125, 4)), 'Raw Annual EBITDA'!$A:X, 24, FALSE) / 4
</f>
        <v>5093</v>
      </c>
      <c r="Y123" s="43"/>
      <c r="Z123" s="43"/>
      <c r="AA123" s="43"/>
      <c r="AB123" s="43"/>
      <c r="AC123" s="43"/>
      <c r="AD123" s="43"/>
    </row>
    <row r="124">
      <c r="A124" s="42" t="s">
        <v>36</v>
      </c>
      <c r="B124" s="43"/>
      <c r="C124" s="45">
        <f>VLOOKUP(VALUE(LEFT(A124, 4)), 'Raw Annual EBITDA'!A:C, 3, FALSE) / 4
</f>
        <v>-13238</v>
      </c>
      <c r="D124" s="45">
        <f>VLOOKUP(VALUE(LEFT(A124, 4)), 'Raw Annual EBITDA'!A:D, 4, FALSE) / 4
</f>
        <v>-7182</v>
      </c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7"/>
      <c r="P124" s="43"/>
      <c r="Q124" s="43"/>
      <c r="R124" s="43"/>
      <c r="S124" s="43"/>
      <c r="T124" s="43"/>
      <c r="U124" s="43"/>
      <c r="V124" s="43"/>
      <c r="W124" s="45">
        <f>VLOOKUP(VALUE(LEFT($A124, 4)), 'Raw Annual EBITDA'!$A:W, 23, FALSE) / 4
</f>
        <v>-5320</v>
      </c>
      <c r="X124" s="45">
        <f>VLOOKUP(VALUE(LEFT($A126, 4)), 'Raw Annual EBITDA'!$A:X, 24, FALSE) / 4
</f>
        <v>5219</v>
      </c>
      <c r="Y124" s="43"/>
      <c r="Z124" s="43"/>
      <c r="AA124" s="43"/>
      <c r="AB124" s="43"/>
      <c r="AC124" s="43"/>
      <c r="AD124" s="43"/>
    </row>
    <row r="125">
      <c r="A125" s="42" t="s">
        <v>37</v>
      </c>
      <c r="B125" s="43"/>
      <c r="C125" s="45">
        <f>VLOOKUP(VALUE(LEFT(A125, 4)), 'Raw Annual EBITDA'!A:C, 3, FALSE) / 4
</f>
        <v>-13238</v>
      </c>
      <c r="D125" s="45">
        <f>VLOOKUP(VALUE(LEFT(A125, 4)), 'Raw Annual EBITDA'!A:D, 4, FALSE) / 4
</f>
        <v>-7182</v>
      </c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7"/>
      <c r="P125" s="43"/>
      <c r="Q125" s="43"/>
      <c r="R125" s="43"/>
      <c r="S125" s="43"/>
      <c r="T125" s="43"/>
      <c r="U125" s="43"/>
      <c r="V125" s="43"/>
      <c r="W125" s="45">
        <f>VLOOKUP(VALUE(LEFT($A125, 4)), 'Raw Annual EBITDA'!$A:W, 23, FALSE) / 4
</f>
        <v>-5320</v>
      </c>
      <c r="X125" s="45">
        <f>VLOOKUP(VALUE(LEFT($A127, 4)), 'Raw Annual EBITDA'!$A:X, 24, FALSE) / 4
</f>
        <v>5219</v>
      </c>
      <c r="Y125" s="43"/>
      <c r="Z125" s="43"/>
      <c r="AA125" s="43"/>
      <c r="AB125" s="43"/>
      <c r="AC125" s="43"/>
      <c r="AD125" s="43"/>
    </row>
    <row r="126">
      <c r="A126" s="42" t="s">
        <v>38</v>
      </c>
      <c r="B126" s="43"/>
      <c r="C126" s="45">
        <f>VLOOKUP(VALUE(LEFT(A126, 4)), 'Raw Annual EBITDA'!A:C, 3, FALSE) / 4
</f>
        <v>-14510.25</v>
      </c>
      <c r="D126" s="45">
        <f>VLOOKUP(VALUE(LEFT(A126, 4)), 'Raw Annual EBITDA'!A:D, 4, FALSE) / 4
</f>
        <v>-4706</v>
      </c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71"/>
      <c r="P126" s="43"/>
      <c r="Q126" s="43"/>
      <c r="R126" s="45"/>
      <c r="S126" s="45">
        <f>VLOOKUP(VALUE(LEFT($A126, 4)), 'Raw Annual EBITDA'!$A:S, 19, FALSE) / 4</f>
        <v>-1665.25</v>
      </c>
      <c r="T126" s="43"/>
      <c r="U126" s="43"/>
      <c r="V126" s="43"/>
      <c r="W126" s="45">
        <f>VLOOKUP(VALUE(LEFT($A126, 4)), 'Raw Annual EBITDA'!$A:W, 23, FALSE) / 4
</f>
        <v>-5157.75</v>
      </c>
      <c r="X126" s="45">
        <f>VLOOKUP(VALUE(LEFT($A128, 4)), 'Raw Annual EBITDA'!$A:X, 24, FALSE) / 4
</f>
        <v>5219</v>
      </c>
      <c r="Y126" s="43"/>
      <c r="Z126" s="43"/>
      <c r="AA126" s="43"/>
      <c r="AB126" s="43"/>
      <c r="AC126" s="43"/>
      <c r="AD126" s="43"/>
    </row>
    <row r="127">
      <c r="A127" s="42" t="s">
        <v>39</v>
      </c>
      <c r="B127" s="43"/>
      <c r="C127" s="45">
        <f>VLOOKUP(VALUE(LEFT(A127, 4)), 'Raw Annual EBITDA'!A:C, 3, FALSE) / 4
</f>
        <v>-14510.25</v>
      </c>
      <c r="D127" s="45">
        <f>VLOOKUP(VALUE(LEFT(A127, 4)), 'Raw Annual EBITDA'!A:D, 4, FALSE) / 4
</f>
        <v>-4706</v>
      </c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7"/>
      <c r="P127" s="43"/>
      <c r="Q127" s="43"/>
      <c r="R127" s="45"/>
      <c r="S127" s="45">
        <f>VLOOKUP(VALUE(LEFT($A127, 4)), 'Raw Annual EBITDA'!$A:S, 19, FALSE) / 4</f>
        <v>-1665.25</v>
      </c>
      <c r="T127" s="43"/>
      <c r="U127" s="43"/>
      <c r="V127" s="43"/>
      <c r="W127" s="45">
        <f>VLOOKUP(VALUE(LEFT($A127, 4)), 'Raw Annual EBITDA'!$A:W, 23, FALSE) / 4
</f>
        <v>-5157.75</v>
      </c>
      <c r="X127" s="45">
        <f>VLOOKUP(VALUE(LEFT($A129, 4)), 'Raw Annual EBITDA'!$A:X, 24, FALSE) / 4
</f>
        <v>5219</v>
      </c>
      <c r="Y127" s="43"/>
      <c r="Z127" s="43"/>
      <c r="AA127" s="43"/>
      <c r="AB127" s="43"/>
      <c r="AC127" s="43"/>
      <c r="AD127" s="43"/>
    </row>
    <row r="128">
      <c r="A128" s="42" t="s">
        <v>40</v>
      </c>
      <c r="B128" s="43"/>
      <c r="C128" s="45">
        <f>VLOOKUP(VALUE(LEFT(A128, 4)), 'Raw Annual EBITDA'!A:C, 3, FALSE) / 4
</f>
        <v>-14510.25</v>
      </c>
      <c r="D128" s="45">
        <f>VLOOKUP(VALUE(LEFT(A128, 4)), 'Raw Annual EBITDA'!A:D, 4, FALSE) / 4
</f>
        <v>-4706</v>
      </c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7"/>
      <c r="P128" s="43"/>
      <c r="Q128" s="43"/>
      <c r="R128" s="45"/>
      <c r="S128" s="45">
        <f>VLOOKUP(VALUE(LEFT($A128, 4)), 'Raw Annual EBITDA'!$A:S, 19, FALSE) / 4</f>
        <v>-1665.25</v>
      </c>
      <c r="T128" s="43"/>
      <c r="U128" s="43"/>
      <c r="V128" s="43"/>
      <c r="W128" s="45">
        <f>VLOOKUP(VALUE(LEFT($A128, 4)), 'Raw Annual EBITDA'!$A:W, 23, FALSE) / 4
</f>
        <v>-5157.75</v>
      </c>
      <c r="X128" s="45">
        <f>VLOOKUP(VALUE(LEFT($A130, 4)), 'Raw Annual EBITDA'!$A:X, 24, FALSE) / 4
</f>
        <v>8500.75</v>
      </c>
      <c r="Y128" s="43"/>
      <c r="Z128" s="43"/>
      <c r="AA128" s="43"/>
      <c r="AB128" s="43"/>
      <c r="AC128" s="43"/>
      <c r="AD128" s="43"/>
    </row>
    <row r="129">
      <c r="A129" s="42" t="s">
        <v>41</v>
      </c>
      <c r="B129" s="43"/>
      <c r="C129" s="45">
        <f>VLOOKUP(VALUE(LEFT(A129, 4)), 'Raw Annual EBITDA'!A:C, 3, FALSE) / 4
</f>
        <v>-14510.25</v>
      </c>
      <c r="D129" s="45">
        <f>VLOOKUP(VALUE(LEFT(A129, 4)), 'Raw Annual EBITDA'!A:D, 4, FALSE) / 4
</f>
        <v>-4706</v>
      </c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7"/>
      <c r="P129" s="43"/>
      <c r="Q129" s="43"/>
      <c r="R129" s="45"/>
      <c r="S129" s="45">
        <f>VLOOKUP(VALUE(LEFT($A129, 4)), 'Raw Annual EBITDA'!$A:S, 19, FALSE) / 4</f>
        <v>-1665.25</v>
      </c>
      <c r="T129" s="43"/>
      <c r="U129" s="43"/>
      <c r="V129" s="43"/>
      <c r="W129" s="45">
        <f>VLOOKUP(VALUE(LEFT($A129, 4)), 'Raw Annual EBITDA'!$A:W, 23, FALSE) / 4
</f>
        <v>-5157.75</v>
      </c>
      <c r="X129" s="45">
        <f>VLOOKUP(VALUE(LEFT($A131, 4)), 'Raw Annual EBITDA'!$A:X, 24, FALSE) / 4
</f>
        <v>8500.75</v>
      </c>
      <c r="Y129" s="43"/>
      <c r="Z129" s="43"/>
      <c r="AA129" s="43"/>
      <c r="AB129" s="43"/>
      <c r="AC129" s="43"/>
      <c r="AD129" s="43"/>
    </row>
    <row r="130">
      <c r="A130" s="42" t="s">
        <v>42</v>
      </c>
      <c r="B130" s="43"/>
      <c r="C130" s="45">
        <f>VLOOKUP(VALUE(LEFT(A130, 4)), 'Raw Annual EBITDA'!A:C, 3, FALSE) / 4
</f>
        <v>-7881.25</v>
      </c>
      <c r="D130" s="45">
        <f>VLOOKUP(VALUE(LEFT(A130, 4)), 'Raw Annual EBITDA'!A:D, 4, FALSE) / 4
</f>
        <v>-27337.75</v>
      </c>
      <c r="E130" s="45">
        <f>VLOOKUP(VALUE(LEFT(A130, 4)), 'Raw Annual EBITDA'!A:E, 5, FALSE) / 4
</f>
        <v>-932.25</v>
      </c>
      <c r="F130" s="43"/>
      <c r="G130" s="43"/>
      <c r="H130" s="43"/>
      <c r="I130" s="43"/>
      <c r="J130" s="43"/>
      <c r="K130" s="43"/>
      <c r="L130" s="43"/>
      <c r="M130" s="43"/>
      <c r="N130" s="43"/>
      <c r="O130" s="47"/>
      <c r="P130" s="43"/>
      <c r="Q130" s="43"/>
      <c r="R130" s="45"/>
      <c r="S130" s="45">
        <f>VLOOKUP(VALUE(LEFT($A130, 4)), 'Raw Annual EBITDA'!$A:S, 19, FALSE) / 4</f>
        <v>-14005.75</v>
      </c>
      <c r="T130" s="43"/>
      <c r="U130" s="43"/>
      <c r="V130" s="45"/>
      <c r="W130" s="45">
        <f>VLOOKUP(VALUE(LEFT($A130, 4)), 'Raw Annual EBITDA'!$A:W, 23, FALSE) / 4
</f>
        <v>-27247</v>
      </c>
      <c r="X130" s="45">
        <f>VLOOKUP(VALUE(LEFT($A132, 4)), 'Raw Annual EBITDA'!$A:X, 24, FALSE) / 4
</f>
        <v>8500.75</v>
      </c>
      <c r="Y130" s="43"/>
      <c r="Z130" s="43"/>
      <c r="AA130" s="43"/>
      <c r="AB130" s="43"/>
      <c r="AC130" s="43"/>
      <c r="AD130" s="43"/>
    </row>
    <row r="131">
      <c r="A131" s="42" t="s">
        <v>43</v>
      </c>
      <c r="B131" s="43"/>
      <c r="C131" s="45">
        <f>VLOOKUP(VALUE(LEFT(A131, 4)), 'Raw Annual EBITDA'!A:C, 3, FALSE) / 4
</f>
        <v>-7881.25</v>
      </c>
      <c r="D131" s="45">
        <f>VLOOKUP(VALUE(LEFT(A131, 4)), 'Raw Annual EBITDA'!A:D, 4, FALSE) / 4
</f>
        <v>-27337.75</v>
      </c>
      <c r="E131" s="45">
        <f>VLOOKUP(VALUE(LEFT(A131, 4)), 'Raw Annual EBITDA'!A:E, 5, FALSE) / 4
</f>
        <v>-932.25</v>
      </c>
      <c r="F131" s="43"/>
      <c r="G131" s="43"/>
      <c r="H131" s="43"/>
      <c r="I131" s="43"/>
      <c r="J131" s="43"/>
      <c r="K131" s="43"/>
      <c r="L131" s="43"/>
      <c r="M131" s="43"/>
      <c r="N131" s="43"/>
      <c r="O131" s="47"/>
      <c r="P131" s="43"/>
      <c r="Q131" s="43"/>
      <c r="R131" s="45"/>
      <c r="S131" s="45">
        <f>VLOOKUP(VALUE(LEFT($A131, 4)), 'Raw Annual EBITDA'!$A:S, 19, FALSE) / 4</f>
        <v>-14005.75</v>
      </c>
      <c r="T131" s="43"/>
      <c r="U131" s="43"/>
      <c r="V131" s="45"/>
      <c r="W131" s="45">
        <f>VLOOKUP(VALUE(LEFT($A131, 4)), 'Raw Annual EBITDA'!$A:W, 23, FALSE) / 4
</f>
        <v>-27247</v>
      </c>
      <c r="X131" s="45">
        <f>VLOOKUP(VALUE(LEFT($A133, 4)), 'Raw Annual EBITDA'!$A:X, 24, FALSE) / 4
</f>
        <v>8500.75</v>
      </c>
      <c r="Y131" s="43"/>
      <c r="Z131" s="43"/>
      <c r="AA131" s="43"/>
      <c r="AB131" s="43"/>
      <c r="AC131" s="43"/>
      <c r="AD131" s="43"/>
    </row>
    <row r="132">
      <c r="A132" s="42" t="s">
        <v>44</v>
      </c>
      <c r="B132" s="43"/>
      <c r="C132" s="45">
        <f>VLOOKUP(VALUE(LEFT(A132, 4)), 'Raw Annual EBITDA'!A:C, 3, FALSE) / 4
</f>
        <v>-7881.25</v>
      </c>
      <c r="D132" s="45">
        <f>VLOOKUP(VALUE(LEFT(A132, 4)), 'Raw Annual EBITDA'!A:D, 4, FALSE) / 4
</f>
        <v>-27337.75</v>
      </c>
      <c r="E132" s="45">
        <f>VLOOKUP(VALUE(LEFT(A132, 4)), 'Raw Annual EBITDA'!A:E, 5, FALSE) / 4
</f>
        <v>-932.25</v>
      </c>
      <c r="F132" s="43"/>
      <c r="G132" s="43"/>
      <c r="H132" s="43"/>
      <c r="I132" s="43"/>
      <c r="J132" s="43"/>
      <c r="K132" s="43"/>
      <c r="L132" s="43"/>
      <c r="M132" s="43"/>
      <c r="N132" s="43"/>
      <c r="O132" s="47"/>
      <c r="P132" s="43"/>
      <c r="Q132" s="43"/>
      <c r="R132" s="45"/>
      <c r="S132" s="45">
        <f>VLOOKUP(VALUE(LEFT($A132, 4)), 'Raw Annual EBITDA'!$A:S, 19, FALSE) / 4</f>
        <v>-14005.75</v>
      </c>
      <c r="T132" s="43"/>
      <c r="U132" s="43"/>
      <c r="V132" s="45"/>
      <c r="W132" s="45">
        <f>VLOOKUP(VALUE(LEFT($A132, 4)), 'Raw Annual EBITDA'!$A:W, 23, FALSE) / 4
</f>
        <v>-27247</v>
      </c>
      <c r="X132" s="45">
        <f>VLOOKUP(VALUE(LEFT($A134, 4)), 'Raw Annual EBITDA'!$A:X, 24, FALSE) / 4
</f>
        <v>10650.75</v>
      </c>
      <c r="Y132" s="43"/>
      <c r="Z132" s="43"/>
      <c r="AA132" s="43"/>
      <c r="AB132" s="43"/>
      <c r="AC132" s="43"/>
      <c r="AD132" s="43"/>
    </row>
    <row r="133">
      <c r="A133" s="42" t="s">
        <v>45</v>
      </c>
      <c r="B133" s="43"/>
      <c r="C133" s="45">
        <f>VLOOKUP(VALUE(LEFT(A133, 4)), 'Raw Annual EBITDA'!A:C, 3, FALSE) / 4
</f>
        <v>-7881.25</v>
      </c>
      <c r="D133" s="45">
        <f>VLOOKUP(VALUE(LEFT(A133, 4)), 'Raw Annual EBITDA'!A:D, 4, FALSE) / 4
</f>
        <v>-27337.75</v>
      </c>
      <c r="E133" s="45">
        <f>VLOOKUP(VALUE(LEFT(A133, 4)), 'Raw Annual EBITDA'!A:E, 5, FALSE) / 4
</f>
        <v>-932.25</v>
      </c>
      <c r="F133" s="43"/>
      <c r="G133" s="43"/>
      <c r="H133" s="43"/>
      <c r="I133" s="43"/>
      <c r="J133" s="43"/>
      <c r="K133" s="43"/>
      <c r="L133" s="43"/>
      <c r="M133" s="43"/>
      <c r="N133" s="43"/>
      <c r="O133" s="47"/>
      <c r="P133" s="43"/>
      <c r="Q133" s="43"/>
      <c r="R133" s="45"/>
      <c r="S133" s="45">
        <f>VLOOKUP(VALUE(LEFT($A133, 4)), 'Raw Annual EBITDA'!$A:S, 19, FALSE) / 4</f>
        <v>-14005.75</v>
      </c>
      <c r="T133" s="43"/>
      <c r="U133" s="43"/>
      <c r="V133" s="45"/>
      <c r="W133" s="45">
        <f>VLOOKUP(VALUE(LEFT($A133, 4)), 'Raw Annual EBITDA'!$A:W, 23, FALSE) / 4
</f>
        <v>-27247</v>
      </c>
      <c r="X133" s="45">
        <f>VLOOKUP(VALUE(LEFT($A135, 4)), 'Raw Annual EBITDA'!$A:X, 24, FALSE) / 4
</f>
        <v>10650.75</v>
      </c>
      <c r="Y133" s="43"/>
      <c r="Z133" s="43"/>
      <c r="AA133" s="43"/>
      <c r="AB133" s="43"/>
      <c r="AC133" s="43"/>
      <c r="AD133" s="43"/>
    </row>
    <row r="134">
      <c r="A134" s="42" t="s">
        <v>46</v>
      </c>
      <c r="B134" s="43"/>
      <c r="C134" s="45">
        <f>VLOOKUP(VALUE(LEFT(A134, 4)), 'Raw Annual EBITDA'!A:C, 3, FALSE) / 4
</f>
        <v>1687.5</v>
      </c>
      <c r="D134" s="45">
        <f>VLOOKUP(VALUE(LEFT(A134, 4)), 'Raw Annual EBITDA'!A:D, 4, FALSE) / 4
</f>
        <v>-3244.25</v>
      </c>
      <c r="E134" s="45">
        <f>VLOOKUP(VALUE(LEFT(A134, 4)), 'Raw Annual EBITDA'!A:E, 5, FALSE) / 4
</f>
        <v>-494.25</v>
      </c>
      <c r="F134" s="43"/>
      <c r="G134" s="43"/>
      <c r="H134" s="43"/>
      <c r="I134" s="43"/>
      <c r="J134" s="43"/>
      <c r="K134" s="43"/>
      <c r="L134" s="43"/>
      <c r="M134" s="43"/>
      <c r="N134" s="43"/>
      <c r="O134" s="47">
        <f>VLOOKUP(VALUE(LEFT(A134, 4)), 'Raw Annual EBITDA'!A:O, 15, FALSE) / 4
</f>
        <v>-224.25</v>
      </c>
      <c r="P134" s="43"/>
      <c r="Q134" s="43"/>
      <c r="R134" s="45"/>
      <c r="S134" s="45">
        <f>VLOOKUP(VALUE(LEFT($A134, 4)), 'Raw Annual EBITDA'!$A:S, 19, FALSE) / 4</f>
        <v>-12336.5</v>
      </c>
      <c r="T134" s="43"/>
      <c r="U134" s="43"/>
      <c r="V134" s="45">
        <f>VLOOKUP(VALUE(LEFT($A134, 4)), 'Raw Annual EBITDA'!$A:V, 22, FALSE) / 4
</f>
        <v>-25809.25</v>
      </c>
      <c r="W134" s="45">
        <f>VLOOKUP(VALUE(LEFT($A134, 4)), 'Raw Annual EBITDA'!$A:W, 23, FALSE) / 4
</f>
        <v>-22910.25</v>
      </c>
      <c r="X134" s="45">
        <f>VLOOKUP(VALUE(LEFT($A136, 4)), 'Raw Annual EBITDA'!$A:X, 24, FALSE) / 4
</f>
        <v>10650.75</v>
      </c>
      <c r="Y134" s="43"/>
      <c r="Z134" s="43"/>
      <c r="AA134" s="43"/>
      <c r="AB134" s="43"/>
      <c r="AC134" s="43"/>
      <c r="AD134" s="43"/>
    </row>
    <row r="135">
      <c r="A135" s="42" t="s">
        <v>47</v>
      </c>
      <c r="B135" s="43"/>
      <c r="C135" s="45">
        <f>VLOOKUP(VALUE(LEFT(A135, 4)), 'Raw Annual EBITDA'!A:C, 3, FALSE) / 4
</f>
        <v>1687.5</v>
      </c>
      <c r="D135" s="45">
        <f>VLOOKUP(VALUE(LEFT(A135, 4)), 'Raw Annual EBITDA'!A:D, 4, FALSE) / 4
</f>
        <v>-3244.25</v>
      </c>
      <c r="E135" s="45">
        <f>VLOOKUP(VALUE(LEFT(A135, 4)), 'Raw Annual EBITDA'!A:E, 5, FALSE) / 4
</f>
        <v>-494.25</v>
      </c>
      <c r="F135" s="43"/>
      <c r="G135" s="43"/>
      <c r="H135" s="43"/>
      <c r="I135" s="43"/>
      <c r="J135" s="43"/>
      <c r="K135" s="43"/>
      <c r="L135" s="43"/>
      <c r="M135" s="43"/>
      <c r="N135" s="43"/>
      <c r="O135" s="47">
        <f>VLOOKUP(VALUE(LEFT(A135, 4)), 'Raw Annual EBITDA'!A:O, 15, FALSE) / 4
</f>
        <v>-224.25</v>
      </c>
      <c r="P135" s="43"/>
      <c r="Q135" s="43"/>
      <c r="R135" s="45"/>
      <c r="S135" s="45">
        <f>VLOOKUP(VALUE(LEFT($A135, 4)), 'Raw Annual EBITDA'!$A:S, 19, FALSE) / 4</f>
        <v>-12336.5</v>
      </c>
      <c r="T135" s="43"/>
      <c r="U135" s="43"/>
      <c r="V135" s="45">
        <f>VLOOKUP(VALUE(LEFT($A135, 4)), 'Raw Annual EBITDA'!$A:V, 22, FALSE) / 4
</f>
        <v>-25809.25</v>
      </c>
      <c r="W135" s="45">
        <f>VLOOKUP(VALUE(LEFT($A135, 4)), 'Raw Annual EBITDA'!$A:W, 23, FALSE) / 4
</f>
        <v>-22910.25</v>
      </c>
      <c r="X135" s="45">
        <f>VLOOKUP(VALUE(LEFT($A137, 4)), 'Raw Annual EBITDA'!$A:X, 24, FALSE) / 4
</f>
        <v>10650.75</v>
      </c>
      <c r="Y135" s="43"/>
      <c r="Z135" s="43"/>
      <c r="AA135" s="43"/>
      <c r="AB135" s="43"/>
      <c r="AC135" s="43"/>
      <c r="AD135" s="43"/>
    </row>
    <row r="136">
      <c r="A136" s="42" t="s">
        <v>48</v>
      </c>
      <c r="B136" s="43"/>
      <c r="C136" s="45">
        <f>VLOOKUP(VALUE(LEFT(A136, 4)), 'Raw Annual EBITDA'!A:C, 3, FALSE) / 4
</f>
        <v>1687.5</v>
      </c>
      <c r="D136" s="45">
        <f>VLOOKUP(VALUE(LEFT(A136, 4)), 'Raw Annual EBITDA'!A:D, 4, FALSE) / 4
</f>
        <v>-3244.25</v>
      </c>
      <c r="E136" s="45">
        <f>VLOOKUP(VALUE(LEFT(A136, 4)), 'Raw Annual EBITDA'!A:E, 5, FALSE) / 4
</f>
        <v>-494.25</v>
      </c>
      <c r="F136" s="43"/>
      <c r="G136" s="43"/>
      <c r="H136" s="43"/>
      <c r="I136" s="43"/>
      <c r="J136" s="43"/>
      <c r="K136" s="43"/>
      <c r="L136" s="43"/>
      <c r="M136" s="43"/>
      <c r="N136" s="43"/>
      <c r="O136" s="47">
        <f>VLOOKUP(VALUE(LEFT(A138, 4)), 'Raw Annual EBITDA'!A:O, 15, FALSE) / 4
</f>
        <v>-103.5</v>
      </c>
      <c r="P136" s="43"/>
      <c r="Q136" s="43"/>
      <c r="R136" s="45"/>
      <c r="S136" s="45">
        <f>VLOOKUP(VALUE(LEFT($A136, 4)), 'Raw Annual EBITDA'!$A:S, 19, FALSE) / 4</f>
        <v>-12336.5</v>
      </c>
      <c r="T136" s="43"/>
      <c r="U136" s="43"/>
      <c r="V136" s="45">
        <f>VLOOKUP(VALUE(LEFT($A136, 4)), 'Raw Annual EBITDA'!$A:V, 22, FALSE) / 4
</f>
        <v>-25809.25</v>
      </c>
      <c r="W136" s="45">
        <f>VLOOKUP(VALUE(LEFT($A136, 4)), 'Raw Annual EBITDA'!$A:W, 23, FALSE) / 4
</f>
        <v>-22910.25</v>
      </c>
      <c r="X136" s="45">
        <f>VLOOKUP(VALUE(LEFT($A138, 4)), 'Raw Annual EBITDA'!$A:X, 24, FALSE) / 4
</f>
        <v>10622.75</v>
      </c>
      <c r="Y136" s="43"/>
      <c r="Z136" s="43"/>
      <c r="AA136" s="43"/>
      <c r="AB136" s="43"/>
      <c r="AC136" s="43"/>
      <c r="AD136" s="43"/>
    </row>
    <row r="137">
      <c r="A137" s="42" t="s">
        <v>49</v>
      </c>
      <c r="B137" s="43"/>
      <c r="C137" s="45">
        <f>VLOOKUP(VALUE(LEFT(A137, 4)), 'Raw Annual EBITDA'!A:C, 3, FALSE) / 4
</f>
        <v>1687.5</v>
      </c>
      <c r="D137" s="45">
        <f>VLOOKUP(VALUE(LEFT(A137, 4)), 'Raw Annual EBITDA'!A:D, 4, FALSE) / 4
</f>
        <v>-3244.25</v>
      </c>
      <c r="E137" s="45">
        <f>VLOOKUP(VALUE(LEFT(A137, 4)), 'Raw Annual EBITDA'!A:E, 5, FALSE) / 4
</f>
        <v>-494.25</v>
      </c>
      <c r="F137" s="43"/>
      <c r="G137" s="43"/>
      <c r="H137" s="43"/>
      <c r="I137" s="43"/>
      <c r="J137" s="43"/>
      <c r="K137" s="43"/>
      <c r="L137" s="43"/>
      <c r="M137" s="43"/>
      <c r="N137" s="43"/>
      <c r="O137" s="47">
        <f>VLOOKUP(VALUE(LEFT(A139, 4)), 'Raw Annual EBITDA'!A:O, 15, FALSE) / 4
</f>
        <v>-103.5</v>
      </c>
      <c r="P137" s="43"/>
      <c r="Q137" s="43"/>
      <c r="R137" s="45"/>
      <c r="S137" s="45">
        <f>VLOOKUP(VALUE(LEFT($A137, 4)), 'Raw Annual EBITDA'!$A:S, 19, FALSE) / 4</f>
        <v>-12336.5</v>
      </c>
      <c r="T137" s="43"/>
      <c r="U137" s="43"/>
      <c r="V137" s="45">
        <f>VLOOKUP(VALUE(LEFT($A137, 4)), 'Raw Annual EBITDA'!$A:V, 22, FALSE) / 4
</f>
        <v>-25809.25</v>
      </c>
      <c r="W137" s="45">
        <f>VLOOKUP(VALUE(LEFT($A137, 4)), 'Raw Annual EBITDA'!$A:W, 23, FALSE) / 4
</f>
        <v>-22910.25</v>
      </c>
      <c r="X137" s="45">
        <f>VLOOKUP(VALUE(LEFT($A139, 4)), 'Raw Annual EBITDA'!$A:X, 24, FALSE) / 4
</f>
        <v>10622.75</v>
      </c>
      <c r="Y137" s="43"/>
      <c r="Z137" s="43"/>
      <c r="AA137" s="43"/>
      <c r="AB137" s="43"/>
      <c r="AC137" s="43"/>
      <c r="AD137" s="43"/>
    </row>
    <row r="138">
      <c r="A138" s="42" t="s">
        <v>50</v>
      </c>
      <c r="B138" s="43"/>
      <c r="C138" s="45">
        <f>VLOOKUP(VALUE(LEFT(A138, 4)), 'Raw Annual EBITDA'!A:C, 3, FALSE) / 4
</f>
        <v>5663.5</v>
      </c>
      <c r="D138" s="45">
        <f>VLOOKUP(VALUE(LEFT(A138, 4)), 'Raw Annual EBITDA'!A:D, 4, FALSE) / 4
</f>
        <v>64350</v>
      </c>
      <c r="E138" s="45">
        <f>VLOOKUP(VALUE(LEFT(A138, 4)), 'Raw Annual EBITDA'!A:E, 5, FALSE) / 4
</f>
        <v>829.75</v>
      </c>
      <c r="F138" s="43"/>
      <c r="G138" s="43"/>
      <c r="H138" s="43"/>
      <c r="I138" s="43"/>
      <c r="J138" s="43"/>
      <c r="K138" s="43"/>
      <c r="L138" s="43"/>
      <c r="M138" s="43"/>
      <c r="N138" s="43"/>
      <c r="O138" s="47">
        <f>VLOOKUP(VALUE(LEFT(A140, 4)), 'Raw Annual EBITDA'!A:O, 15, FALSE) / 4
</f>
        <v>-103.5</v>
      </c>
      <c r="P138" s="43"/>
      <c r="Q138" s="43"/>
      <c r="R138" s="45"/>
      <c r="S138" s="45">
        <f>VLOOKUP(VALUE(LEFT($A138, 4)), 'Raw Annual EBITDA'!$A:S, 19, FALSE) / 4</f>
        <v>-2875.5</v>
      </c>
      <c r="T138" s="43"/>
      <c r="U138" s="43"/>
      <c r="V138" s="45">
        <f>VLOOKUP(VALUE(LEFT($A138, 4)), 'Raw Annual EBITDA'!$A:V, 22, FALSE) / 4
</f>
        <v>-4468.75</v>
      </c>
      <c r="W138" s="45"/>
      <c r="X138" s="45">
        <f>VLOOKUP(VALUE(LEFT($A140, 4)), 'Raw Annual EBITDA'!$A:X, 24, FALSE) / 4
</f>
        <v>10622.75</v>
      </c>
      <c r="Y138" s="43"/>
      <c r="Z138" s="43"/>
      <c r="AA138" s="43"/>
      <c r="AB138" s="43"/>
      <c r="AC138" s="43"/>
      <c r="AD138" s="43"/>
    </row>
    <row r="139">
      <c r="A139" s="42" t="s">
        <v>51</v>
      </c>
      <c r="B139" s="43"/>
      <c r="C139" s="45">
        <f>VLOOKUP(VALUE(LEFT(A139, 4)), 'Raw Annual EBITDA'!A:C, 3, FALSE) / 4
</f>
        <v>5663.5</v>
      </c>
      <c r="D139" s="45">
        <f>VLOOKUP(VALUE(LEFT(A139, 4)), 'Raw Annual EBITDA'!A:D, 4, FALSE) / 4
</f>
        <v>64350</v>
      </c>
      <c r="E139" s="45">
        <f>VLOOKUP(VALUE(LEFT(A139, 4)), 'Raw Annual EBITDA'!A:E, 5, FALSE) / 4
</f>
        <v>829.75</v>
      </c>
      <c r="F139" s="43"/>
      <c r="G139" s="43"/>
      <c r="H139" s="43"/>
      <c r="I139" s="43"/>
      <c r="J139" s="43"/>
      <c r="K139" s="43"/>
      <c r="L139" s="43"/>
      <c r="M139" s="43"/>
      <c r="N139" s="43"/>
      <c r="O139" s="47">
        <f>VLOOKUP(VALUE(LEFT(A141, 4)), 'Raw Annual EBITDA'!A:O, 15, FALSE) / 4
</f>
        <v>-103.5</v>
      </c>
      <c r="P139" s="43"/>
      <c r="Q139" s="43"/>
      <c r="R139" s="45"/>
      <c r="S139" s="45">
        <f>VLOOKUP(VALUE(LEFT($A139, 4)), 'Raw Annual EBITDA'!$A:S, 19, FALSE) / 4</f>
        <v>-2875.5</v>
      </c>
      <c r="T139" s="43"/>
      <c r="U139" s="43"/>
      <c r="V139" s="45">
        <f>VLOOKUP(VALUE(LEFT($A139, 4)), 'Raw Annual EBITDA'!$A:V, 22, FALSE) / 4
</f>
        <v>-4468.75</v>
      </c>
      <c r="W139" s="45"/>
      <c r="X139" s="45">
        <f>VLOOKUP(VALUE(LEFT($A141, 4)), 'Raw Annual EBITDA'!$A:X, 24, FALSE) / 4
</f>
        <v>10622.75</v>
      </c>
      <c r="Y139" s="43"/>
      <c r="Z139" s="43"/>
      <c r="AA139" s="43"/>
      <c r="AB139" s="43"/>
      <c r="AC139" s="43"/>
      <c r="AD139" s="43"/>
    </row>
    <row r="140">
      <c r="A140" s="42" t="s">
        <v>52</v>
      </c>
      <c r="B140" s="43"/>
      <c r="C140" s="45">
        <f>VLOOKUP(VALUE(LEFT(A140, 4)), 'Raw Annual EBITDA'!A:C, 3, FALSE) / 4
</f>
        <v>5663.5</v>
      </c>
      <c r="D140" s="45">
        <f>VLOOKUP(VALUE(LEFT(A140, 4)), 'Raw Annual EBITDA'!A:D, 4, FALSE) / 4
</f>
        <v>64350</v>
      </c>
      <c r="E140" s="45">
        <f>VLOOKUP(VALUE(LEFT(A140, 4)), 'Raw Annual EBITDA'!A:E, 5, FALSE) / 4
</f>
        <v>829.75</v>
      </c>
      <c r="F140" s="43"/>
      <c r="G140" s="43"/>
      <c r="H140" s="43"/>
      <c r="I140" s="43"/>
      <c r="J140" s="43"/>
      <c r="K140" s="43"/>
      <c r="L140" s="43"/>
      <c r="M140" s="43"/>
      <c r="N140" s="43"/>
      <c r="O140" s="47">
        <f>VLOOKUP(VALUE(LEFT(A142, 4)), 'Raw Annual EBITDA'!A:O, 15, FALSE) / 4
</f>
        <v>-106.75</v>
      </c>
      <c r="P140" s="43"/>
      <c r="Q140" s="43"/>
      <c r="R140" s="45"/>
      <c r="S140" s="45">
        <f>VLOOKUP(VALUE(LEFT($A140, 4)), 'Raw Annual EBITDA'!$A:S, 19, FALSE) / 4</f>
        <v>-2875.5</v>
      </c>
      <c r="T140" s="43"/>
      <c r="U140" s="43"/>
      <c r="V140" s="45">
        <f>VLOOKUP(VALUE(LEFT($A140, 4)), 'Raw Annual EBITDA'!$A:V, 22, FALSE) / 4
</f>
        <v>-4468.75</v>
      </c>
      <c r="W140" s="45"/>
      <c r="X140" s="45">
        <f>VLOOKUP(VALUE(LEFT($A142, 4)), 'Raw Annual EBITDA'!$A:X, 24, FALSE) / 4
</f>
        <v>15673.5</v>
      </c>
      <c r="Y140" s="43"/>
      <c r="Z140" s="43"/>
      <c r="AA140" s="43"/>
      <c r="AB140" s="43"/>
      <c r="AC140" s="43"/>
      <c r="AD140" s="43"/>
    </row>
    <row r="141">
      <c r="A141" s="42" t="s">
        <v>53</v>
      </c>
      <c r="B141" s="43"/>
      <c r="C141" s="45">
        <f>VLOOKUP(VALUE(LEFT(A141, 4)), 'Raw Annual EBITDA'!A:C, 3, FALSE) / 4
</f>
        <v>5663.5</v>
      </c>
      <c r="D141" s="45">
        <f>VLOOKUP(VALUE(LEFT(A141, 4)), 'Raw Annual EBITDA'!A:D, 4, FALSE) / 4
</f>
        <v>64350</v>
      </c>
      <c r="E141" s="45">
        <f>VLOOKUP(VALUE(LEFT(A141, 4)), 'Raw Annual EBITDA'!A:E, 5, FALSE) / 4
</f>
        <v>829.75</v>
      </c>
      <c r="F141" s="43"/>
      <c r="G141" s="43"/>
      <c r="H141" s="43"/>
      <c r="I141" s="43"/>
      <c r="J141" s="43"/>
      <c r="K141" s="43"/>
      <c r="L141" s="43"/>
      <c r="M141" s="43"/>
      <c r="N141" s="43"/>
      <c r="O141" s="47">
        <f>VLOOKUP(VALUE(LEFT(A143, 4)), 'Raw Annual EBITDA'!A:O, 15, FALSE) / 4
</f>
        <v>-106.75</v>
      </c>
      <c r="P141" s="43"/>
      <c r="Q141" s="43"/>
      <c r="R141" s="45"/>
      <c r="S141" s="45">
        <f>VLOOKUP(VALUE(LEFT($A141, 4)), 'Raw Annual EBITDA'!$A:S, 19, FALSE) / 4</f>
        <v>-2875.5</v>
      </c>
      <c r="T141" s="43"/>
      <c r="U141" s="43"/>
      <c r="V141" s="45">
        <f>VLOOKUP(VALUE(LEFT($A141, 4)), 'Raw Annual EBITDA'!$A:V, 22, FALSE) / 4
</f>
        <v>-4468.75</v>
      </c>
      <c r="W141" s="45"/>
      <c r="X141" s="45">
        <f>VLOOKUP(VALUE(LEFT($A143, 4)), 'Raw Annual EBITDA'!$A:X, 24, FALSE) / 4
</f>
        <v>15673.5</v>
      </c>
      <c r="Y141" s="43"/>
      <c r="Z141" s="43"/>
      <c r="AA141" s="43"/>
      <c r="AB141" s="43"/>
      <c r="AC141" s="43"/>
      <c r="AD141" s="43"/>
    </row>
    <row r="142">
      <c r="A142" s="42" t="s">
        <v>54</v>
      </c>
      <c r="B142" s="43"/>
      <c r="C142" s="45">
        <f>VLOOKUP(VALUE(LEFT(A142, 4)), 'Raw Annual EBITDA'!A:C, 3, FALSE) / 4
</f>
        <v>6500.75</v>
      </c>
      <c r="D142" s="45">
        <f>VLOOKUP(VALUE(LEFT(A142, 4)), 'Raw Annual EBITDA'!A:D, 4, FALSE) / 4
</f>
        <v>91506.75</v>
      </c>
      <c r="E142" s="45">
        <f>VLOOKUP(VALUE(LEFT(A142, 4)), 'Raw Annual EBITDA'!A:E, 5, FALSE) / 4
</f>
        <v>1937</v>
      </c>
      <c r="F142" s="43"/>
      <c r="G142" s="43"/>
      <c r="H142" s="43"/>
      <c r="I142" s="43"/>
      <c r="J142" s="43"/>
      <c r="K142" s="43"/>
      <c r="L142" s="43"/>
      <c r="M142" s="43"/>
      <c r="N142" s="43"/>
      <c r="O142" s="47">
        <f>VLOOKUP(VALUE(LEFT(A144, 4)), 'Raw Annual EBITDA'!A:O, 15, FALSE) / 4
</f>
        <v>-106.75</v>
      </c>
      <c r="P142" s="43"/>
      <c r="Q142" s="43"/>
      <c r="R142" s="45"/>
      <c r="S142" s="45">
        <f>VLOOKUP(VALUE(LEFT($A142, 4)), 'Raw Annual EBITDA'!$A:S, 19, FALSE) / 4</f>
        <v>-22457.75</v>
      </c>
      <c r="T142" s="43"/>
      <c r="U142" s="43"/>
      <c r="V142" s="45">
        <f>VLOOKUP(VALUE(LEFT($A142, 4)), 'Raw Annual EBITDA'!$A:V, 22, FALSE) / 4
</f>
        <v>-4007.25</v>
      </c>
      <c r="W142" s="43"/>
      <c r="X142" s="45">
        <f>VLOOKUP(VALUE(LEFT($A144, 4)), 'Raw Annual EBITDA'!$A:X, 24, FALSE) / 4
</f>
        <v>15673.5</v>
      </c>
      <c r="Y142" s="43"/>
      <c r="Z142" s="43"/>
      <c r="AA142" s="43"/>
      <c r="AB142" s="43"/>
      <c r="AC142" s="43"/>
      <c r="AD142" s="43"/>
    </row>
    <row r="143">
      <c r="A143" s="42" t="s">
        <v>55</v>
      </c>
      <c r="B143" s="43"/>
      <c r="C143" s="45">
        <f>VLOOKUP(VALUE(LEFT(A143, 4)), 'Raw Annual EBITDA'!A:C, 3, FALSE) / 4
</f>
        <v>6500.75</v>
      </c>
      <c r="D143" s="45">
        <f>VLOOKUP(VALUE(LEFT(A143, 4)), 'Raw Annual EBITDA'!A:D, 4, FALSE) / 4
</f>
        <v>91506.75</v>
      </c>
      <c r="E143" s="45">
        <f>VLOOKUP(VALUE(LEFT(A143, 4)), 'Raw Annual EBITDA'!A:E, 5, FALSE) / 4
</f>
        <v>1937</v>
      </c>
      <c r="F143" s="43"/>
      <c r="G143" s="43"/>
      <c r="H143" s="43"/>
      <c r="I143" s="43"/>
      <c r="J143" s="43"/>
      <c r="K143" s="43"/>
      <c r="L143" s="43"/>
      <c r="M143" s="43"/>
      <c r="N143" s="43"/>
      <c r="O143" s="47">
        <f>VLOOKUP(VALUE(LEFT(A145, 4)), 'Raw Annual EBITDA'!A:O, 15, FALSE) / 4
</f>
        <v>-106.75</v>
      </c>
      <c r="P143" s="43"/>
      <c r="Q143" s="43"/>
      <c r="R143" s="45"/>
      <c r="S143" s="45">
        <f>VLOOKUP(VALUE(LEFT($A143, 4)), 'Raw Annual EBITDA'!$A:S, 19, FALSE) / 4</f>
        <v>-22457.75</v>
      </c>
      <c r="T143" s="43"/>
      <c r="U143" s="43"/>
      <c r="V143" s="45">
        <f>VLOOKUP(VALUE(LEFT($A143, 4)), 'Raw Annual EBITDA'!$A:V, 22, FALSE) / 4
</f>
        <v>-4007.25</v>
      </c>
      <c r="W143" s="43"/>
      <c r="X143" s="45">
        <f>VLOOKUP(VALUE(LEFT($A145, 4)), 'Raw Annual EBITDA'!$A:X, 24, FALSE) / 4
</f>
        <v>15673.5</v>
      </c>
      <c r="Y143" s="43"/>
      <c r="Z143" s="43"/>
      <c r="AA143" s="43"/>
      <c r="AB143" s="43"/>
      <c r="AC143" s="43"/>
      <c r="AD143" s="43"/>
    </row>
    <row r="144">
      <c r="A144" s="42" t="s">
        <v>56</v>
      </c>
      <c r="B144" s="43"/>
      <c r="C144" s="45">
        <f>VLOOKUP(VALUE(LEFT(A144, 4)), 'Raw Annual EBITDA'!A:C, 3, FALSE) / 4
</f>
        <v>6500.75</v>
      </c>
      <c r="D144" s="45">
        <f>VLOOKUP(VALUE(LEFT(A144, 4)), 'Raw Annual EBITDA'!A:D, 4, FALSE) / 4
</f>
        <v>91506.75</v>
      </c>
      <c r="E144" s="45">
        <f>VLOOKUP(VALUE(LEFT(A144, 4)), 'Raw Annual EBITDA'!A:E, 5, FALSE) / 4
</f>
        <v>1937</v>
      </c>
      <c r="F144" s="43"/>
      <c r="G144" s="43"/>
      <c r="H144" s="43"/>
      <c r="I144" s="43"/>
      <c r="J144" s="43"/>
      <c r="K144" s="43"/>
      <c r="L144" s="43"/>
      <c r="M144" s="43"/>
      <c r="N144" s="43"/>
      <c r="O144" s="47">
        <f>VLOOKUP(VALUE(LEFT(A146, 4)), 'Raw Annual EBITDA'!A:O, 15, FALSE) / 4
</f>
        <v>-172</v>
      </c>
      <c r="P144" s="43"/>
      <c r="Q144" s="43"/>
      <c r="R144" s="45"/>
      <c r="S144" s="45">
        <f>VLOOKUP(VALUE(LEFT($A144, 4)), 'Raw Annual EBITDA'!$A:S, 19, FALSE) / 4</f>
        <v>-22457.75</v>
      </c>
      <c r="T144" s="43"/>
      <c r="U144" s="43"/>
      <c r="V144" s="45">
        <f>VLOOKUP(VALUE(LEFT($A144, 4)), 'Raw Annual EBITDA'!$A:V, 22, FALSE) / 4
</f>
        <v>-4007.25</v>
      </c>
      <c r="W144" s="43"/>
      <c r="X144" s="45">
        <f>VLOOKUP(VALUE(LEFT($A146, 4)), 'Raw Annual EBITDA'!$A:X, 24, FALSE) / 4
</f>
        <v>20857.25</v>
      </c>
      <c r="Y144" s="43"/>
      <c r="Z144" s="43"/>
      <c r="AA144" s="43"/>
      <c r="AB144" s="43"/>
      <c r="AC144" s="43"/>
      <c r="AD144" s="43"/>
    </row>
    <row r="145">
      <c r="A145" s="42" t="s">
        <v>57</v>
      </c>
      <c r="B145" s="43"/>
      <c r="C145" s="45">
        <f>VLOOKUP(VALUE(LEFT(A145, 4)), 'Raw Annual EBITDA'!A:C, 3, FALSE) / 4
</f>
        <v>6500.75</v>
      </c>
      <c r="D145" s="45">
        <f>VLOOKUP(VALUE(LEFT(A145, 4)), 'Raw Annual EBITDA'!A:D, 4, FALSE) / 4
</f>
        <v>91506.75</v>
      </c>
      <c r="E145" s="45">
        <f>VLOOKUP(VALUE(LEFT(A145, 4)), 'Raw Annual EBITDA'!A:E, 5, FALSE) / 4
</f>
        <v>1937</v>
      </c>
      <c r="F145" s="43"/>
      <c r="G145" s="43"/>
      <c r="H145" s="43"/>
      <c r="I145" s="43"/>
      <c r="J145" s="43"/>
      <c r="K145" s="43"/>
      <c r="L145" s="43"/>
      <c r="M145" s="43"/>
      <c r="N145" s="43"/>
      <c r="O145" s="47">
        <f>VLOOKUP(VALUE(LEFT(A147, 4)), 'Raw Annual EBITDA'!A:O, 15, FALSE) / 4
</f>
        <v>-172</v>
      </c>
      <c r="P145" s="43"/>
      <c r="Q145" s="43"/>
      <c r="R145" s="45"/>
      <c r="S145" s="45">
        <f>VLOOKUP(VALUE(LEFT($A145, 4)), 'Raw Annual EBITDA'!$A:S, 19, FALSE) / 4</f>
        <v>-22457.75</v>
      </c>
      <c r="T145" s="43"/>
      <c r="U145" s="43"/>
      <c r="V145" s="45">
        <f>VLOOKUP(VALUE(LEFT($A145, 4)), 'Raw Annual EBITDA'!$A:V, 22, FALSE) / 4
</f>
        <v>-4007.25</v>
      </c>
      <c r="W145" s="43"/>
      <c r="X145" s="45">
        <f>VLOOKUP(VALUE(LEFT($A147, 4)), 'Raw Annual EBITDA'!$A:X, 24, FALSE) / 4
</f>
        <v>20857.25</v>
      </c>
      <c r="Y145" s="43"/>
      <c r="Z145" s="43"/>
      <c r="AA145" s="43"/>
      <c r="AB145" s="43"/>
      <c r="AC145" s="43"/>
      <c r="AD145" s="43"/>
    </row>
    <row r="146">
      <c r="A146" s="42" t="s">
        <v>58</v>
      </c>
      <c r="B146" s="43"/>
      <c r="C146" s="45">
        <f>VLOOKUP(VALUE(LEFT(A146, 4)), 'Raw Annual EBITDA'!A:C, 3, FALSE) / 4
</f>
        <v>11199.75</v>
      </c>
      <c r="D146" s="45">
        <f>VLOOKUP(VALUE(LEFT(A146, 4)), 'Raw Annual EBITDA'!A:D, 4, FALSE) / 4
</f>
        <v>102407.5</v>
      </c>
      <c r="E146" s="45">
        <f>VLOOKUP(VALUE(LEFT(A146, 4)), 'Raw Annual EBITDA'!A:E, 5, FALSE) / 4
</f>
        <v>4248</v>
      </c>
      <c r="F146" s="43"/>
      <c r="G146" s="43"/>
      <c r="H146" s="43"/>
      <c r="I146" s="43"/>
      <c r="J146" s="43"/>
      <c r="K146" s="43"/>
      <c r="L146" s="43"/>
      <c r="M146" s="43"/>
      <c r="N146" s="43"/>
      <c r="O146" s="47">
        <f>VLOOKUP(VALUE(LEFT(A148, 4)), 'Raw Annual EBITDA'!A:O, 15, FALSE) / 4
</f>
        <v>-172</v>
      </c>
      <c r="P146" s="43"/>
      <c r="Q146" s="43"/>
      <c r="R146" s="45"/>
      <c r="S146" s="45"/>
      <c r="T146" s="43"/>
      <c r="U146" s="43"/>
      <c r="V146" s="45">
        <f>VLOOKUP(VALUE(LEFT($A146, 4)), 'Raw Annual EBITDA'!$A:V, 22, FALSE) / 4
</f>
        <v>-15000</v>
      </c>
      <c r="W146" s="43"/>
      <c r="X146" s="45">
        <f>VLOOKUP(VALUE(LEFT($A148, 4)), 'Raw Annual EBITDA'!$A:X, 24, FALSE) / 4
</f>
        <v>20857.25</v>
      </c>
      <c r="Y146" s="43"/>
      <c r="Z146" s="43"/>
      <c r="AA146" s="43"/>
      <c r="AB146" s="43"/>
      <c r="AC146" s="43"/>
      <c r="AD146" s="43"/>
    </row>
    <row r="147">
      <c r="A147" s="42" t="s">
        <v>59</v>
      </c>
      <c r="B147" s="43"/>
      <c r="C147" s="45">
        <f>VLOOKUP(VALUE(LEFT(A147, 4)), 'Raw Annual EBITDA'!A:C, 3, FALSE) / 4
</f>
        <v>11199.75</v>
      </c>
      <c r="D147" s="45">
        <f>VLOOKUP(VALUE(LEFT(A147, 4)), 'Raw Annual EBITDA'!A:D, 4, FALSE) / 4
</f>
        <v>102407.5</v>
      </c>
      <c r="E147" s="45">
        <f>VLOOKUP(VALUE(LEFT(A147, 4)), 'Raw Annual EBITDA'!A:E, 5, FALSE) / 4
</f>
        <v>4248</v>
      </c>
      <c r="F147" s="43"/>
      <c r="G147" s="43"/>
      <c r="H147" s="43"/>
      <c r="I147" s="43"/>
      <c r="J147" s="43"/>
      <c r="K147" s="43"/>
      <c r="L147" s="43"/>
      <c r="M147" s="43"/>
      <c r="N147" s="43"/>
      <c r="O147" s="47">
        <f>VLOOKUP(VALUE(LEFT(A149, 4)), 'Raw Annual EBITDA'!A:O, 15, FALSE) / 4
</f>
        <v>-172</v>
      </c>
      <c r="P147" s="43"/>
      <c r="Q147" s="43"/>
      <c r="R147" s="43"/>
      <c r="S147" s="43"/>
      <c r="T147" s="43"/>
      <c r="U147" s="43"/>
      <c r="V147" s="45">
        <f>VLOOKUP(VALUE(LEFT($A147, 4)), 'Raw Annual EBITDA'!$A:V, 22, FALSE) / 4
</f>
        <v>-15000</v>
      </c>
      <c r="W147" s="43"/>
      <c r="X147" s="45">
        <f>VLOOKUP(VALUE(LEFT($A149, 4)), 'Raw Annual EBITDA'!$A:X, 24, FALSE) / 4
</f>
        <v>20857.25</v>
      </c>
      <c r="Y147" s="43"/>
      <c r="Z147" s="43"/>
      <c r="AA147" s="43"/>
      <c r="AB147" s="43"/>
      <c r="AC147" s="43"/>
      <c r="AD147" s="43"/>
    </row>
    <row r="148">
      <c r="A148" s="42" t="s">
        <v>60</v>
      </c>
      <c r="B148" s="43"/>
      <c r="C148" s="45">
        <f>VLOOKUP(VALUE(LEFT(A148, 4)), 'Raw Annual EBITDA'!A:C, 3, FALSE) / 4
</f>
        <v>11199.75</v>
      </c>
      <c r="D148" s="45">
        <f>VLOOKUP(VALUE(LEFT(A148, 4)), 'Raw Annual EBITDA'!A:D, 4, FALSE) / 4
</f>
        <v>102407.5</v>
      </c>
      <c r="E148" s="45">
        <f>VLOOKUP(VALUE(LEFT(A148, 4)), 'Raw Annual EBITDA'!A:E, 5, FALSE) / 4
</f>
        <v>4248</v>
      </c>
      <c r="F148" s="43"/>
      <c r="G148" s="43"/>
      <c r="H148" s="43"/>
      <c r="I148" s="43"/>
      <c r="J148" s="43"/>
      <c r="K148" s="43"/>
      <c r="L148" s="43"/>
      <c r="M148" s="43"/>
      <c r="N148" s="43"/>
      <c r="O148" s="47">
        <f>VLOOKUP(VALUE(LEFT(A150, 4)), 'Raw Annual EBITDA'!A:O, 15, FALSE) / 4
</f>
        <v>324.5</v>
      </c>
      <c r="P148" s="43"/>
      <c r="Q148" s="43"/>
      <c r="R148" s="43"/>
      <c r="S148" s="43"/>
      <c r="T148" s="43"/>
      <c r="U148" s="43"/>
      <c r="V148" s="45">
        <f>VLOOKUP(VALUE(LEFT($A148, 4)), 'Raw Annual EBITDA'!$A:V, 22, FALSE) / 4
</f>
        <v>-15000</v>
      </c>
      <c r="W148" s="43"/>
      <c r="X148" s="45">
        <f>VLOOKUP(VALUE(LEFT($A150, 4)), 'Raw Annual EBITDA'!$A:X, 24, FALSE) / 4
</f>
        <v>26915.25</v>
      </c>
      <c r="Y148" s="43"/>
      <c r="Z148" s="43"/>
      <c r="AA148" s="43"/>
      <c r="AB148" s="43"/>
      <c r="AC148" s="43"/>
      <c r="AD148" s="43"/>
    </row>
    <row r="149">
      <c r="A149" s="42" t="s">
        <v>61</v>
      </c>
      <c r="B149" s="43"/>
      <c r="C149" s="45">
        <f>VLOOKUP(VALUE(LEFT(A149, 4)), 'Raw Annual EBITDA'!A:C, 3, FALSE) / 4
</f>
        <v>11199.75</v>
      </c>
      <c r="D149" s="45">
        <f>VLOOKUP(VALUE(LEFT(A149, 4)), 'Raw Annual EBITDA'!A:D, 4, FALSE) / 4
</f>
        <v>102407.5</v>
      </c>
      <c r="E149" s="45">
        <f>VLOOKUP(VALUE(LEFT(A149, 4)), 'Raw Annual EBITDA'!A:E, 5, FALSE) / 4
</f>
        <v>4248</v>
      </c>
      <c r="F149" s="43"/>
      <c r="G149" s="43"/>
      <c r="H149" s="43"/>
      <c r="I149" s="43"/>
      <c r="J149" s="43"/>
      <c r="K149" s="43"/>
      <c r="L149" s="43"/>
      <c r="M149" s="43"/>
      <c r="N149" s="43"/>
      <c r="O149" s="47">
        <f>VLOOKUP(VALUE(LEFT(A151, 4)), 'Raw Annual EBITDA'!A:O, 15, FALSE) / 4
</f>
        <v>324.5</v>
      </c>
      <c r="P149" s="43"/>
      <c r="Q149" s="43"/>
      <c r="R149" s="43"/>
      <c r="S149" s="43"/>
      <c r="T149" s="43"/>
      <c r="U149" s="43"/>
      <c r="V149" s="45"/>
      <c r="W149" s="43"/>
      <c r="X149" s="45">
        <f>VLOOKUP(VALUE(LEFT($A151, 4)), 'Raw Annual EBITDA'!$A:X, 24, FALSE) / 4
</f>
        <v>26915.25</v>
      </c>
      <c r="Y149" s="43"/>
      <c r="Z149" s="43"/>
      <c r="AA149" s="43"/>
      <c r="AB149" s="43"/>
      <c r="AC149" s="43"/>
      <c r="AD149" s="43"/>
    </row>
    <row r="150">
      <c r="A150" s="42" t="s">
        <v>62</v>
      </c>
      <c r="B150" s="43"/>
      <c r="C150" s="45">
        <f>VLOOKUP(VALUE(LEFT(A150, 4)), 'Raw Annual EBITDA'!A:C, 3, FALSE) / 4
</f>
        <v>16212</v>
      </c>
      <c r="D150" s="45">
        <f>VLOOKUP(VALUE(LEFT(A150, 4)), 'Raw Annual EBITDA'!A:D, 4, FALSE) / 4
</f>
        <v>143391</v>
      </c>
      <c r="E150" s="45">
        <f>VLOOKUP(VALUE(LEFT(A150, 4)), 'Raw Annual EBITDA'!A:E, 5, FALSE) / 4
</f>
        <v>7783.75</v>
      </c>
      <c r="F150" s="43"/>
      <c r="G150" s="43"/>
      <c r="H150" s="43"/>
      <c r="I150" s="43"/>
      <c r="J150" s="43"/>
      <c r="K150" s="43"/>
      <c r="L150" s="43"/>
      <c r="M150" s="43"/>
      <c r="N150" s="43"/>
      <c r="O150" s="47">
        <f>VLOOKUP(VALUE(LEFT(A152, 4)), 'Raw Annual EBITDA'!A:O, 15, FALSE) / 4
</f>
        <v>324.5</v>
      </c>
      <c r="P150" s="43"/>
      <c r="Q150" s="43"/>
      <c r="R150" s="43"/>
      <c r="S150" s="43"/>
      <c r="T150" s="43"/>
      <c r="U150" s="43"/>
      <c r="V150" s="45"/>
      <c r="W150" s="43"/>
      <c r="X150" s="45">
        <f>VLOOKUP(VALUE(LEFT($A152, 4)), 'Raw Annual EBITDA'!$A:X, 24, FALSE) / 4
</f>
        <v>26915.25</v>
      </c>
      <c r="Y150" s="43"/>
      <c r="Z150" s="43"/>
      <c r="AA150" s="43"/>
      <c r="AB150" s="43"/>
      <c r="AC150" s="43"/>
      <c r="AD150" s="43"/>
    </row>
    <row r="151">
      <c r="A151" s="42" t="s">
        <v>63</v>
      </c>
      <c r="B151" s="43"/>
      <c r="C151" s="45">
        <f>VLOOKUP(VALUE(LEFT(A151, 4)), 'Raw Annual EBITDA'!A:C, 3, FALSE) / 4
</f>
        <v>16212</v>
      </c>
      <c r="D151" s="45">
        <f>VLOOKUP(VALUE(LEFT(A151, 4)), 'Raw Annual EBITDA'!A:D, 4, FALSE) / 4
</f>
        <v>143391</v>
      </c>
      <c r="E151" s="45">
        <f>VLOOKUP(VALUE(LEFT(A151, 4)), 'Raw Annual EBITDA'!A:E, 5, FALSE) / 4
</f>
        <v>7783.75</v>
      </c>
      <c r="F151" s="43"/>
      <c r="G151" s="43"/>
      <c r="H151" s="43"/>
      <c r="I151" s="43"/>
      <c r="J151" s="43"/>
      <c r="K151" s="43"/>
      <c r="L151" s="43"/>
      <c r="M151" s="43"/>
      <c r="N151" s="43"/>
      <c r="O151" s="47">
        <f>VLOOKUP(VALUE(LEFT(A153, 4)), 'Raw Annual EBITDA'!A:O, 15, FALSE) / 4
</f>
        <v>324.5</v>
      </c>
      <c r="P151" s="43"/>
      <c r="Q151" s="43"/>
      <c r="R151" s="43"/>
      <c r="S151" s="43"/>
      <c r="T151" s="43"/>
      <c r="U151" s="43"/>
      <c r="V151" s="45"/>
      <c r="W151" s="43"/>
      <c r="X151" s="45">
        <f>VLOOKUP(VALUE(LEFT($A153, 4)), 'Raw Annual EBITDA'!$A:X, 24, FALSE) / 4
</f>
        <v>26915.25</v>
      </c>
      <c r="Y151" s="43"/>
      <c r="Z151" s="43"/>
      <c r="AA151" s="43"/>
      <c r="AB151" s="43"/>
      <c r="AC151" s="43"/>
      <c r="AD151" s="43"/>
    </row>
    <row r="152">
      <c r="A152" s="42" t="s">
        <v>64</v>
      </c>
      <c r="B152" s="43"/>
      <c r="C152" s="45">
        <f>VLOOKUP(VALUE(LEFT(A152, 4)), 'Raw Annual EBITDA'!A:C, 3, FALSE) / 4
</f>
        <v>16212</v>
      </c>
      <c r="D152" s="45">
        <f>VLOOKUP(VALUE(LEFT(A152, 4)), 'Raw Annual EBITDA'!A:D, 4, FALSE) / 4
</f>
        <v>143391</v>
      </c>
      <c r="E152" s="45">
        <f>VLOOKUP(VALUE(LEFT(A152, 4)), 'Raw Annual EBITDA'!A:E, 5, FALSE) / 4
</f>
        <v>7783.75</v>
      </c>
      <c r="F152" s="43"/>
      <c r="G152" s="43"/>
      <c r="H152" s="43"/>
      <c r="I152" s="43"/>
      <c r="J152" s="43"/>
      <c r="K152" s="43"/>
      <c r="L152" s="43"/>
      <c r="M152" s="43"/>
      <c r="N152" s="43"/>
      <c r="O152" s="47">
        <f>VLOOKUP(VALUE(LEFT(A154, 4)), 'Raw Annual EBITDA'!A:O, 15, FALSE) / 4
</f>
        <v>716</v>
      </c>
      <c r="P152" s="43"/>
      <c r="Q152" s="43"/>
      <c r="R152" s="43"/>
      <c r="S152" s="43"/>
      <c r="T152" s="43"/>
      <c r="U152" s="43"/>
      <c r="V152" s="45"/>
      <c r="W152" s="43"/>
      <c r="X152" s="45">
        <f>VLOOKUP(VALUE(LEFT($A154, 4)), 'Raw Annual EBITDA'!$A:X, 24, FALSE) / 4
</f>
        <v>27421.75</v>
      </c>
      <c r="Y152" s="43"/>
      <c r="Z152" s="43"/>
      <c r="AA152" s="43"/>
      <c r="AB152" s="43"/>
      <c r="AC152" s="43"/>
      <c r="AD152" s="43"/>
    </row>
    <row r="153">
      <c r="A153" s="42" t="s">
        <v>65</v>
      </c>
      <c r="B153" s="43"/>
      <c r="C153" s="45">
        <f>VLOOKUP(VALUE(LEFT(A153, 4)), 'Raw Annual EBITDA'!A:C, 3, FALSE) / 4
</f>
        <v>16212</v>
      </c>
      <c r="D153" s="45">
        <f>VLOOKUP(VALUE(LEFT(A153, 4)), 'Raw Annual EBITDA'!A:D, 4, FALSE) / 4
</f>
        <v>143391</v>
      </c>
      <c r="E153" s="45">
        <f>VLOOKUP(VALUE(LEFT(A153, 4)), 'Raw Annual EBITDA'!A:E, 5, FALSE) / 4
</f>
        <v>7783.75</v>
      </c>
      <c r="F153" s="43"/>
      <c r="G153" s="43"/>
      <c r="H153" s="43"/>
      <c r="I153" s="43"/>
      <c r="J153" s="43"/>
      <c r="K153" s="43"/>
      <c r="L153" s="43"/>
      <c r="M153" s="43"/>
      <c r="N153" s="43"/>
      <c r="O153" s="47">
        <f>VLOOKUP(VALUE(LEFT(A155, 4)), 'Raw Annual EBITDA'!A:O, 15, FALSE) / 4
</f>
        <v>716</v>
      </c>
      <c r="P153" s="43"/>
      <c r="Q153" s="43"/>
      <c r="R153" s="43"/>
      <c r="S153" s="43"/>
      <c r="T153" s="43"/>
      <c r="U153" s="43"/>
      <c r="V153" s="45"/>
      <c r="W153" s="43"/>
      <c r="X153" s="45">
        <f>VLOOKUP(VALUE(LEFT($A155, 4)), 'Raw Annual EBITDA'!$A:X, 24, FALSE) / 4
</f>
        <v>27421.75</v>
      </c>
      <c r="Y153" s="43"/>
      <c r="Z153" s="43"/>
      <c r="AA153" s="43"/>
      <c r="AB153" s="43"/>
      <c r="AC153" s="43"/>
      <c r="AD153" s="43"/>
    </row>
    <row r="154">
      <c r="A154" s="42" t="s">
        <v>66</v>
      </c>
      <c r="B154" s="43"/>
      <c r="C154" s="45">
        <f>VLOOKUP(VALUE(LEFT(A154, 4)), 'Raw Annual EBITDA'!A:C, 3, FALSE) / 4
</f>
        <v>24255.25</v>
      </c>
      <c r="D154" s="45">
        <f>VLOOKUP(VALUE(LEFT(A154, 4)), 'Raw Annual EBITDA'!A:D, 4, FALSE) / 4
</f>
        <v>139468.5</v>
      </c>
      <c r="E154" s="45">
        <f>VLOOKUP(VALUE(LEFT(A154, 4)), 'Raw Annual EBITDA'!A:E, 5, FALSE) / 4
</f>
        <v>8984.75</v>
      </c>
      <c r="F154" s="43"/>
      <c r="G154" s="43"/>
      <c r="H154" s="43"/>
      <c r="I154" s="43"/>
      <c r="J154" s="43"/>
      <c r="K154" s="43"/>
      <c r="L154" s="43"/>
      <c r="M154" s="43"/>
      <c r="N154" s="43"/>
      <c r="O154" s="47">
        <f>VLOOKUP(VALUE(LEFT(A156, 4)), 'Raw Annual EBITDA'!A:O, 15, FALSE) / 4
</f>
        <v>716</v>
      </c>
      <c r="P154" s="43"/>
      <c r="Q154" s="43"/>
      <c r="R154" s="43"/>
      <c r="S154" s="43"/>
      <c r="T154" s="43"/>
      <c r="U154" s="43"/>
      <c r="V154" s="45"/>
      <c r="W154" s="43"/>
      <c r="X154" s="45">
        <f>VLOOKUP(VALUE(LEFT($A156, 4)), 'Raw Annual EBITDA'!$A:X, 24, FALSE) / 4
</f>
        <v>27421.75</v>
      </c>
      <c r="Y154" s="43"/>
      <c r="Z154" s="43"/>
      <c r="AA154" s="43"/>
      <c r="AB154" s="43"/>
      <c r="AC154" s="43"/>
      <c r="AD154" s="43"/>
    </row>
    <row r="155">
      <c r="A155" s="42" t="s">
        <v>67</v>
      </c>
      <c r="B155" s="43"/>
      <c r="C155" s="45">
        <f>VLOOKUP(VALUE(LEFT(A155, 4)), 'Raw Annual EBITDA'!A:C, 3, FALSE) / 4
</f>
        <v>24255.25</v>
      </c>
      <c r="D155" s="45">
        <f>VLOOKUP(VALUE(LEFT(A155, 4)), 'Raw Annual EBITDA'!A:D, 4, FALSE) / 4
</f>
        <v>139468.5</v>
      </c>
      <c r="E155" s="45">
        <f>VLOOKUP(VALUE(LEFT(A155, 4)), 'Raw Annual EBITDA'!A:E, 5, FALSE) / 4
</f>
        <v>8984.75</v>
      </c>
      <c r="F155" s="43"/>
      <c r="G155" s="43"/>
      <c r="H155" s="43"/>
      <c r="I155" s="43"/>
      <c r="J155" s="43"/>
      <c r="K155" s="43"/>
      <c r="L155" s="43"/>
      <c r="M155" s="43"/>
      <c r="N155" s="43"/>
      <c r="O155" s="47">
        <f>VLOOKUP(VALUE(LEFT(A157, 4)), 'Raw Annual EBITDA'!A:O, 15, FALSE) / 4
</f>
        <v>716</v>
      </c>
      <c r="P155" s="43"/>
      <c r="Q155" s="43"/>
      <c r="R155" s="43"/>
      <c r="S155" s="43"/>
      <c r="T155" s="43"/>
      <c r="U155" s="43"/>
      <c r="V155" s="45"/>
      <c r="W155" s="43"/>
      <c r="X155" s="45">
        <f>VLOOKUP(VALUE(LEFT($A157, 4)), 'Raw Annual EBITDA'!$A:X, 24, FALSE) / 4
</f>
        <v>27421.75</v>
      </c>
      <c r="Y155" s="43"/>
      <c r="Z155" s="43"/>
      <c r="AA155" s="43"/>
      <c r="AB155" s="43"/>
      <c r="AC155" s="43"/>
      <c r="AD155" s="43"/>
    </row>
    <row r="156">
      <c r="A156" s="42" t="s">
        <v>68</v>
      </c>
      <c r="B156" s="43"/>
      <c r="C156" s="45">
        <f>VLOOKUP(VALUE(LEFT(A156, 4)), 'Raw Annual EBITDA'!A:C, 3, FALSE) / 4
</f>
        <v>24255.25</v>
      </c>
      <c r="D156" s="45">
        <f>VLOOKUP(VALUE(LEFT(A156, 4)), 'Raw Annual EBITDA'!A:D, 4, FALSE) / 4
</f>
        <v>139468.5</v>
      </c>
      <c r="E156" s="45">
        <f>VLOOKUP(VALUE(LEFT(A156, 4)), 'Raw Annual EBITDA'!A:E, 5, FALSE) / 4
</f>
        <v>8984.75</v>
      </c>
      <c r="F156" s="43"/>
      <c r="G156" s="43"/>
      <c r="H156" s="43"/>
      <c r="I156" s="43"/>
      <c r="J156" s="43"/>
      <c r="K156" s="43"/>
      <c r="L156" s="43"/>
      <c r="M156" s="43"/>
      <c r="N156" s="43"/>
      <c r="O156" s="47">
        <f>VLOOKUP(VALUE(LEFT(A158, 4)), 'Raw Annual EBITDA'!A:O, 15, FALSE) / 4
</f>
        <v>896.5</v>
      </c>
      <c r="P156" s="43"/>
      <c r="Q156" s="43"/>
      <c r="R156" s="43"/>
      <c r="S156" s="43"/>
      <c r="T156" s="43"/>
      <c r="U156" s="43"/>
      <c r="V156" s="45"/>
      <c r="W156" s="43"/>
      <c r="X156" s="45">
        <f>VLOOKUP(VALUE(LEFT($A158, 4)), 'Raw Annual EBITDA'!$A:X, 24, FALSE) / 4
</f>
        <v>26920.5</v>
      </c>
      <c r="Y156" s="43"/>
      <c r="Z156" s="43"/>
      <c r="AA156" s="43"/>
      <c r="AB156" s="43"/>
      <c r="AC156" s="43"/>
      <c r="AD156" s="43"/>
    </row>
    <row r="157">
      <c r="A157" s="42" t="s">
        <v>69</v>
      </c>
      <c r="B157" s="43"/>
      <c r="C157" s="45">
        <f>VLOOKUP(VALUE(LEFT(A157, 4)), 'Raw Annual EBITDA'!A:C, 3, FALSE) / 4
</f>
        <v>24255.25</v>
      </c>
      <c r="D157" s="45">
        <f>VLOOKUP(VALUE(LEFT(A157, 4)), 'Raw Annual EBITDA'!A:D, 4, FALSE) / 4
</f>
        <v>139468.5</v>
      </c>
      <c r="E157" s="45">
        <f>VLOOKUP(VALUE(LEFT(A157, 4)), 'Raw Annual EBITDA'!A:E, 5, FALSE) / 4
</f>
        <v>8984.75</v>
      </c>
      <c r="F157" s="43"/>
      <c r="G157" s="43"/>
      <c r="H157" s="43"/>
      <c r="I157" s="43"/>
      <c r="J157" s="43"/>
      <c r="K157" s="43"/>
      <c r="L157" s="43"/>
      <c r="M157" s="43"/>
      <c r="N157" s="43"/>
      <c r="O157" s="47">
        <f>VLOOKUP(VALUE(LEFT(A159, 4)), 'Raw Annual EBITDA'!A:O, 15, FALSE) / 4
</f>
        <v>896.5</v>
      </c>
      <c r="P157" s="43"/>
      <c r="Q157" s="43"/>
      <c r="R157" s="43"/>
      <c r="S157" s="43"/>
      <c r="T157" s="43"/>
      <c r="U157" s="43"/>
      <c r="V157" s="45"/>
      <c r="W157" s="43"/>
      <c r="X157" s="45">
        <f>VLOOKUP(VALUE(LEFT($A159, 4)), 'Raw Annual EBITDA'!$A:X, 24, FALSE) / 4
</f>
        <v>26920.5</v>
      </c>
      <c r="Y157" s="43"/>
      <c r="Z157" s="43"/>
      <c r="AA157" s="43"/>
      <c r="AB157" s="43"/>
      <c r="AC157" s="43"/>
      <c r="AD157" s="43"/>
    </row>
    <row r="158">
      <c r="A158" s="42" t="s">
        <v>70</v>
      </c>
      <c r="B158" s="43"/>
      <c r="C158" s="45">
        <f>VLOOKUP(VALUE(LEFT(A158, 4)), 'Raw Annual EBITDA'!A:C, 3, FALSE) / 4
</f>
        <v>57696.25</v>
      </c>
      <c r="D158" s="45">
        <f>VLOOKUP(VALUE(LEFT(A158, 4)), 'Raw Annual EBITDA'!A:D, 4, FALSE) / 4
</f>
        <v>166541</v>
      </c>
      <c r="E158" s="45">
        <f>VLOOKUP(VALUE(LEFT(A158, 4)), 'Raw Annual EBITDA'!A:E, 5, FALSE) / 4
</f>
        <v>15945.5</v>
      </c>
      <c r="F158" s="43"/>
      <c r="G158" s="43"/>
      <c r="H158" s="43"/>
      <c r="I158" s="43"/>
      <c r="J158" s="43"/>
      <c r="K158" s="43"/>
      <c r="L158" s="43"/>
      <c r="M158" s="43"/>
      <c r="N158" s="43"/>
      <c r="O158" s="47">
        <f>VLOOKUP(VALUE(LEFT(A160, 4)), 'Raw Annual EBITDA'!A:O, 15, FALSE) / 4
</f>
        <v>896.5</v>
      </c>
      <c r="P158" s="43"/>
      <c r="Q158" s="43"/>
      <c r="R158" s="43"/>
      <c r="S158" s="43"/>
      <c r="T158" s="43"/>
      <c r="U158" s="43"/>
      <c r="V158" s="45"/>
      <c r="W158" s="43"/>
      <c r="X158" s="45">
        <f>VLOOKUP(VALUE(LEFT($A160, 4)), 'Raw Annual EBITDA'!$A:X, 24, FALSE) / 4
</f>
        <v>26920.5</v>
      </c>
      <c r="Y158" s="43"/>
      <c r="Z158" s="43"/>
      <c r="AA158" s="43"/>
      <c r="AB158" s="43"/>
      <c r="AC158" s="43"/>
      <c r="AD158" s="43"/>
    </row>
    <row r="159">
      <c r="A159" s="42" t="s">
        <v>71</v>
      </c>
      <c r="B159" s="43"/>
      <c r="C159" s="45">
        <f>VLOOKUP(VALUE(LEFT(A159, 4)), 'Raw Annual EBITDA'!A:C, 3, FALSE) / 4
</f>
        <v>57696.25</v>
      </c>
      <c r="D159" s="45">
        <f>VLOOKUP(VALUE(LEFT(A159, 4)), 'Raw Annual EBITDA'!A:D, 4, FALSE) / 4
</f>
        <v>166541</v>
      </c>
      <c r="E159" s="45">
        <f>VLOOKUP(VALUE(LEFT(A159, 4)), 'Raw Annual EBITDA'!A:E, 5, FALSE) / 4
</f>
        <v>15945.5</v>
      </c>
      <c r="F159" s="43"/>
      <c r="G159" s="43"/>
      <c r="H159" s="43"/>
      <c r="I159" s="43"/>
      <c r="J159" s="43"/>
      <c r="K159" s="43"/>
      <c r="L159" s="43"/>
      <c r="M159" s="43"/>
      <c r="N159" s="43"/>
      <c r="O159" s="47">
        <f>VLOOKUP(VALUE(LEFT(A161, 4)), 'Raw Annual EBITDA'!A:O, 15, FALSE) / 4
</f>
        <v>896.5</v>
      </c>
      <c r="P159" s="43"/>
      <c r="Q159" s="43"/>
      <c r="R159" s="43"/>
      <c r="S159" s="43"/>
      <c r="T159" s="43"/>
      <c r="U159" s="43"/>
      <c r="V159" s="45">
        <f>VLOOKUP(VALUE(LEFT($A159, 4)), 'Raw Annual EBITDA'!$A:V, 22, FALSE) / 4
</f>
        <v>-10250</v>
      </c>
      <c r="W159" s="43"/>
      <c r="X159" s="45">
        <f>VLOOKUP(VALUE(LEFT($A161, 4)), 'Raw Annual EBITDA'!$A:X, 24, FALSE) / 4
</f>
        <v>26920.5</v>
      </c>
      <c r="Y159" s="43"/>
      <c r="Z159" s="43"/>
      <c r="AA159" s="43"/>
      <c r="AB159" s="43"/>
      <c r="AC159" s="43"/>
      <c r="AD159" s="43"/>
    </row>
    <row r="160">
      <c r="A160" s="42" t="s">
        <v>72</v>
      </c>
      <c r="B160" s="43"/>
      <c r="C160" s="45">
        <f>VLOOKUP(VALUE(LEFT(A160, 4)), 'Raw Annual EBITDA'!A:C, 3, FALSE) / 4
</f>
        <v>57696.25</v>
      </c>
      <c r="D160" s="45">
        <f>VLOOKUP(VALUE(LEFT(A160, 4)), 'Raw Annual EBITDA'!A:D, 4, FALSE) / 4
</f>
        <v>166541</v>
      </c>
      <c r="E160" s="45">
        <f>VLOOKUP(VALUE(LEFT(A160, 4)), 'Raw Annual EBITDA'!A:E, 5, FALSE) / 4
</f>
        <v>15945.5</v>
      </c>
      <c r="F160" s="43"/>
      <c r="G160" s="43"/>
      <c r="H160" s="43"/>
      <c r="I160" s="43"/>
      <c r="J160" s="43"/>
      <c r="K160" s="43"/>
      <c r="L160" s="43"/>
      <c r="M160" s="43"/>
      <c r="N160" s="43"/>
      <c r="O160" s="47">
        <f>VLOOKUP(VALUE(LEFT(A162, 4)), 'Raw Annual EBITDA'!A:O, 15, FALSE) / 4
</f>
        <v>1992</v>
      </c>
      <c r="P160" s="43"/>
      <c r="Q160" s="43"/>
      <c r="R160" s="43"/>
      <c r="S160" s="43"/>
      <c r="T160" s="43"/>
      <c r="U160" s="43"/>
      <c r="V160" s="45">
        <f>VLOOKUP(VALUE(LEFT($A160, 4)), 'Raw Annual EBITDA'!$A:V, 22, FALSE) / 4
</f>
        <v>-10250</v>
      </c>
      <c r="W160" s="43"/>
      <c r="X160" s="45">
        <f>VLOOKUP(VALUE(LEFT($A162, 4)), 'Raw Annual EBITDA'!$A:X, 24, FALSE) / 4
</f>
        <v>40267</v>
      </c>
      <c r="Y160" s="43"/>
      <c r="Z160" s="43"/>
      <c r="AA160" s="43"/>
      <c r="AB160" s="43"/>
      <c r="AC160" s="43"/>
      <c r="AD160" s="43"/>
    </row>
    <row r="161">
      <c r="A161" s="42" t="s">
        <v>73</v>
      </c>
      <c r="B161" s="43"/>
      <c r="C161" s="45">
        <f>VLOOKUP(VALUE(LEFT(A161, 4)), 'Raw Annual EBITDA'!A:C, 3, FALSE) / 4
</f>
        <v>57696.25</v>
      </c>
      <c r="D161" s="45">
        <f>VLOOKUP(VALUE(LEFT(A161, 4)), 'Raw Annual EBITDA'!A:D, 4, FALSE) / 4
</f>
        <v>166541</v>
      </c>
      <c r="E161" s="45">
        <f>VLOOKUP(VALUE(LEFT(A161, 4)), 'Raw Annual EBITDA'!A:E, 5, FALSE) / 4
</f>
        <v>15945.5</v>
      </c>
      <c r="F161" s="43"/>
      <c r="G161" s="43"/>
      <c r="H161" s="43"/>
      <c r="I161" s="43"/>
      <c r="J161" s="43"/>
      <c r="K161" s="43"/>
      <c r="L161" s="43"/>
      <c r="M161" s="43"/>
      <c r="N161" s="43"/>
      <c r="O161" s="47">
        <f>VLOOKUP(VALUE(LEFT(A163, 4)), 'Raw Annual EBITDA'!A:O, 15, FALSE) / 4
</f>
        <v>1992</v>
      </c>
      <c r="P161" s="43"/>
      <c r="Q161" s="43"/>
      <c r="R161" s="43"/>
      <c r="S161" s="43"/>
      <c r="T161" s="43"/>
      <c r="U161" s="43"/>
      <c r="V161" s="45">
        <f>VLOOKUP(VALUE(LEFT($A161, 4)), 'Raw Annual EBITDA'!$A:V, 22, FALSE) / 4
</f>
        <v>-10250</v>
      </c>
      <c r="W161" s="43"/>
      <c r="X161" s="45">
        <f>VLOOKUP(VALUE(LEFT($A163, 4)), 'Raw Annual EBITDA'!$A:X, 24, FALSE) / 4
</f>
        <v>40267</v>
      </c>
      <c r="Y161" s="43"/>
      <c r="Z161" s="43"/>
      <c r="AA161" s="43"/>
      <c r="AB161" s="43"/>
      <c r="AC161" s="43"/>
      <c r="AD161" s="43"/>
    </row>
    <row r="162">
      <c r="A162" s="42" t="s">
        <v>74</v>
      </c>
      <c r="B162" s="43"/>
      <c r="C162" s="45">
        <f>VLOOKUP(VALUE(LEFT(A162, 4)), 'Raw Annual EBITDA'!A:C, 3, FALSE) / 4
</f>
        <v>83135.5</v>
      </c>
      <c r="D162" s="45">
        <f>VLOOKUP(VALUE(LEFT(A162, 4)), 'Raw Annual EBITDA'!A:D, 4, FALSE) / 4
</f>
        <v>178320.75</v>
      </c>
      <c r="E162" s="45">
        <f>VLOOKUP(VALUE(LEFT(A162, 4)), 'Raw Annual EBITDA'!A:E, 5, FALSE) / 4
</f>
        <v>20277.5</v>
      </c>
      <c r="F162" s="43"/>
      <c r="G162" s="43"/>
      <c r="H162" s="43"/>
      <c r="I162" s="43"/>
      <c r="J162" s="45"/>
      <c r="K162" s="43"/>
      <c r="L162" s="43"/>
      <c r="M162" s="43"/>
      <c r="N162" s="43"/>
      <c r="O162" s="47">
        <f>VLOOKUP(VALUE(LEFT(A164, 4)), 'Raw Annual EBITDA'!A:O, 15, FALSE) / 4
</f>
        <v>1992</v>
      </c>
      <c r="P162" s="43"/>
      <c r="Q162" s="43"/>
      <c r="R162" s="43"/>
      <c r="S162" s="43"/>
      <c r="T162" s="43"/>
      <c r="U162" s="43"/>
      <c r="V162" s="45">
        <f>VLOOKUP(VALUE(LEFT($A162, 4)), 'Raw Annual EBITDA'!$A:V, 22, FALSE) / 4
</f>
        <v>-75250</v>
      </c>
      <c r="W162" s="43"/>
      <c r="X162" s="45">
        <f>VLOOKUP(VALUE(LEFT($A164, 4)), 'Raw Annual EBITDA'!$A:X, 24, FALSE) / 4
</f>
        <v>40267</v>
      </c>
      <c r="Y162" s="43"/>
      <c r="Z162" s="43"/>
      <c r="AA162" s="43"/>
      <c r="AB162" s="43"/>
      <c r="AC162" s="43"/>
      <c r="AD162" s="43"/>
    </row>
    <row r="163">
      <c r="A163" s="42" t="s">
        <v>75</v>
      </c>
      <c r="B163" s="43"/>
      <c r="C163" s="45">
        <f>VLOOKUP(VALUE(LEFT(A163, 4)), 'Raw Annual EBITDA'!A:C, 3, FALSE) / 4
</f>
        <v>83135.5</v>
      </c>
      <c r="D163" s="45">
        <f>VLOOKUP(VALUE(LEFT(A163, 4)), 'Raw Annual EBITDA'!A:D, 4, FALSE) / 4
</f>
        <v>178320.75</v>
      </c>
      <c r="E163" s="45">
        <f>VLOOKUP(VALUE(LEFT(A163, 4)), 'Raw Annual EBITDA'!A:E, 5, FALSE) / 4
</f>
        <v>20277.5</v>
      </c>
      <c r="F163" s="43"/>
      <c r="G163" s="43"/>
      <c r="H163" s="43"/>
      <c r="I163" s="43"/>
      <c r="J163" s="45">
        <f>VLOOKUP(VALUE(LEFT(A51, 4)), 'Raw Annual EBITDA'!A:J, 10, FALSE) / 4</f>
        <v>-2205.25</v>
      </c>
      <c r="K163" s="43"/>
      <c r="L163" s="45"/>
      <c r="M163" s="43"/>
      <c r="N163" s="43"/>
      <c r="O163" s="47">
        <f>VLOOKUP(VALUE(LEFT(A165, 4)), 'Raw Annual EBITDA'!A:O, 15, FALSE) / 4
</f>
        <v>1992</v>
      </c>
      <c r="P163" s="43"/>
      <c r="Q163" s="43"/>
      <c r="R163" s="43"/>
      <c r="S163" s="43"/>
      <c r="T163" s="43"/>
      <c r="U163" s="43"/>
      <c r="V163" s="45">
        <f>VLOOKUP(VALUE(LEFT($A163, 4)), 'Raw Annual EBITDA'!$A:V, 22, FALSE) / 4
</f>
        <v>-75250</v>
      </c>
      <c r="W163" s="43"/>
      <c r="X163" s="45">
        <f>VLOOKUP(VALUE(LEFT($A165, 4)), 'Raw Annual EBITDA'!$A:X, 24, FALSE) / 4
</f>
        <v>40267</v>
      </c>
      <c r="Y163" s="43"/>
      <c r="Z163" s="43"/>
      <c r="AA163" s="43"/>
      <c r="AB163" s="43"/>
      <c r="AC163" s="43"/>
      <c r="AD163" s="43"/>
    </row>
    <row r="164">
      <c r="A164" s="42" t="s">
        <v>76</v>
      </c>
      <c r="B164" s="43"/>
      <c r="C164" s="45">
        <f>VLOOKUP(VALUE(LEFT(A164, 4)), 'Raw Annual EBITDA'!A:C, 3, FALSE) / 4
</f>
        <v>83135.5</v>
      </c>
      <c r="D164" s="45">
        <f>VLOOKUP(VALUE(LEFT(A164, 4)), 'Raw Annual EBITDA'!A:D, 4, FALSE) / 4
</f>
        <v>178320.75</v>
      </c>
      <c r="E164" s="45">
        <f>VLOOKUP(VALUE(LEFT(A164, 4)), 'Raw Annual EBITDA'!A:E, 5, FALSE) / 4
</f>
        <v>20277.5</v>
      </c>
      <c r="F164" s="43"/>
      <c r="G164" s="43"/>
      <c r="H164" s="43"/>
      <c r="I164" s="43"/>
      <c r="J164" s="45">
        <f>VLOOKUP(VALUE(LEFT(A52, 4)), 'Raw Annual EBITDA'!A:J, 10, FALSE) / 4</f>
        <v>-2205.25</v>
      </c>
      <c r="K164" s="43"/>
      <c r="L164" s="43"/>
      <c r="M164" s="43"/>
      <c r="N164" s="43"/>
      <c r="O164" s="47">
        <f>VLOOKUP(VALUE(LEFT(A166, 4)), 'Raw Annual EBITDA'!A:O, 15, FALSE) / 4
</f>
        <v>1962.5</v>
      </c>
      <c r="P164" s="43"/>
      <c r="Q164" s="43"/>
      <c r="R164" s="43"/>
      <c r="S164" s="43"/>
      <c r="T164" s="43"/>
      <c r="U164" s="43"/>
      <c r="V164" s="45">
        <f>VLOOKUP(VALUE(LEFT($A164, 4)), 'Raw Annual EBITDA'!$A:V, 22, FALSE) / 4
</f>
        <v>-75250</v>
      </c>
      <c r="W164" s="43"/>
      <c r="X164" s="45">
        <f>VLOOKUP(VALUE(LEFT($A166, 4)), 'Raw Annual EBITDA'!$A:X, 24, FALSE) / 4
</f>
        <v>55822</v>
      </c>
      <c r="Y164" s="43"/>
      <c r="Z164" s="43"/>
      <c r="AA164" s="43"/>
      <c r="AB164" s="43"/>
      <c r="AC164" s="43"/>
      <c r="AD164" s="43"/>
    </row>
    <row r="165">
      <c r="A165" s="42" t="s">
        <v>77</v>
      </c>
      <c r="B165" s="43"/>
      <c r="C165" s="45">
        <f>VLOOKUP(VALUE(LEFT(A165, 4)), 'Raw Annual EBITDA'!A:C, 3, FALSE) / 4
</f>
        <v>83135.5</v>
      </c>
      <c r="D165" s="45">
        <f>VLOOKUP(VALUE(LEFT(A165, 4)), 'Raw Annual EBITDA'!A:D, 4, FALSE) / 4
</f>
        <v>178320.75</v>
      </c>
      <c r="E165" s="45">
        <f>VLOOKUP(VALUE(LEFT(A165, 4)), 'Raw Annual EBITDA'!A:E, 5, FALSE) / 4
</f>
        <v>20277.5</v>
      </c>
      <c r="F165" s="43"/>
      <c r="G165" s="43"/>
      <c r="H165" s="43"/>
      <c r="I165" s="43"/>
      <c r="J165" s="45">
        <f>VLOOKUP(VALUE(LEFT(A53, 4)), 'Raw Annual EBITDA'!A:J, 10, FALSE) / 4</f>
        <v>-2205.25</v>
      </c>
      <c r="K165" s="43"/>
      <c r="L165" s="43"/>
      <c r="M165" s="43"/>
      <c r="N165" s="43"/>
      <c r="O165" s="47">
        <f>VLOOKUP(VALUE(LEFT(A167, 4)), 'Raw Annual EBITDA'!A:O, 15, FALSE) / 4
</f>
        <v>1962.5</v>
      </c>
      <c r="P165" s="43"/>
      <c r="Q165" s="43"/>
      <c r="R165" s="43"/>
      <c r="S165" s="43"/>
      <c r="T165" s="43"/>
      <c r="U165" s="43"/>
      <c r="V165" s="45">
        <f>VLOOKUP(VALUE(LEFT($A165, 4)), 'Raw Annual EBITDA'!$A:V, 22, FALSE) / 4
</f>
        <v>-75250</v>
      </c>
      <c r="W165" s="43"/>
      <c r="X165" s="45">
        <f>VLOOKUP(VALUE(LEFT($A167, 4)), 'Raw Annual EBITDA'!$A:X, 24, FALSE) / 4
</f>
        <v>55822</v>
      </c>
      <c r="Y165" s="43"/>
      <c r="Z165" s="43"/>
      <c r="AA165" s="43"/>
      <c r="AB165" s="43"/>
      <c r="AC165" s="43"/>
      <c r="AD165" s="43"/>
    </row>
    <row r="166">
      <c r="A166" s="42" t="s">
        <v>78</v>
      </c>
      <c r="B166" s="43"/>
      <c r="C166" s="45">
        <f>VLOOKUP(VALUE(LEFT(A166, 4)), 'Raw Annual EBITDA'!A:C, 3, FALSE) / 4
</f>
        <v>127507</v>
      </c>
      <c r="D166" s="45">
        <f>VLOOKUP(VALUE(LEFT(A166, 4)), 'Raw Annual EBITDA'!A:D, 4, FALSE) / 4
</f>
        <v>154309.25</v>
      </c>
      <c r="E166" s="45">
        <f>VLOOKUP(VALUE(LEFT(A166, 4)), 'Raw Annual EBITDA'!A:E, 5, FALSE) / 4
</f>
        <v>29345.25</v>
      </c>
      <c r="F166" s="45">
        <f>VLOOKUP(VALUE(LEFT(A166, 4)), 'Raw Annual EBITDA'!A:F, 6, FALSE) / 4</f>
        <v>47828.5</v>
      </c>
      <c r="G166" s="43"/>
      <c r="H166" s="43"/>
      <c r="I166" s="43"/>
      <c r="J166" s="45">
        <f>VLOOKUP(VALUE(LEFT(A54, 4)), 'Raw Annual EBITDA'!A:J, 10, FALSE) / 4</f>
        <v>-2205.25</v>
      </c>
      <c r="K166" s="43"/>
      <c r="L166" s="45">
        <f>VLOOKUP(VALUE(LEFT($A166, 4)), 'Raw Annual EBITDA'!$A:L, 12, FALSE) / 4</f>
        <v>27857.25</v>
      </c>
      <c r="M166" s="43"/>
      <c r="N166" s="43"/>
      <c r="O166" s="47">
        <f>VLOOKUP(VALUE(LEFT(A168, 4)), 'Raw Annual EBITDA'!A:O, 15, FALSE) / 4
</f>
        <v>1962.5</v>
      </c>
      <c r="P166" s="43"/>
      <c r="Q166" s="43"/>
      <c r="R166" s="43"/>
      <c r="S166" s="43"/>
      <c r="T166" s="43"/>
      <c r="U166" s="43"/>
      <c r="V166" s="45">
        <f>VLOOKUP(VALUE(LEFT($A166, 4)), 'Raw Annual EBITDA'!$A:V, 22, FALSE) / 4
</f>
        <v>-82000</v>
      </c>
      <c r="W166" s="43"/>
      <c r="X166" s="45">
        <f>VLOOKUP(VALUE(LEFT($A168, 4)), 'Raw Annual EBITDA'!$A:X, 24, FALSE) / 4
</f>
        <v>55822</v>
      </c>
      <c r="Y166" s="43"/>
      <c r="Z166" s="43"/>
      <c r="AA166" s="43"/>
      <c r="AB166" s="43"/>
      <c r="AC166" s="43"/>
      <c r="AD166" s="43"/>
    </row>
    <row r="167">
      <c r="A167" s="42" t="s">
        <v>79</v>
      </c>
      <c r="B167" s="43"/>
      <c r="C167" s="45">
        <f>VLOOKUP(VALUE(LEFT(A167, 4)), 'Raw Annual EBITDA'!A:C, 3, FALSE) / 4
</f>
        <v>127507</v>
      </c>
      <c r="D167" s="45">
        <f>VLOOKUP(VALUE(LEFT(A167, 4)), 'Raw Annual EBITDA'!A:D, 4, FALSE) / 4
</f>
        <v>154309.25</v>
      </c>
      <c r="E167" s="45">
        <f>VLOOKUP(VALUE(LEFT(A167, 4)), 'Raw Annual EBITDA'!A:E, 5, FALSE) / 4
</f>
        <v>29345.25</v>
      </c>
      <c r="F167" s="45">
        <f>VLOOKUP(VALUE(LEFT(A167, 4)), 'Raw Annual EBITDA'!A:F, 6, FALSE) / 4</f>
        <v>47828.5</v>
      </c>
      <c r="G167" s="43"/>
      <c r="H167" s="43"/>
      <c r="I167" s="43"/>
      <c r="J167" s="45">
        <f>VLOOKUP(VALUE(LEFT(A55, 4)), 'Raw Annual EBITDA'!A:J, 10, FALSE) / 4</f>
        <v>-1103.5</v>
      </c>
      <c r="K167" s="43"/>
      <c r="L167" s="45">
        <f>VLOOKUP(VALUE(LEFT($A167, 4)), 'Raw Annual EBITDA'!$A:L, 12, FALSE) / 4</f>
        <v>27857.25</v>
      </c>
      <c r="M167" s="43"/>
      <c r="N167" s="43"/>
      <c r="O167" s="47">
        <f>VLOOKUP(VALUE(LEFT(A169, 4)), 'Raw Annual EBITDA'!A:O, 15, FALSE) / 4
</f>
        <v>1962.5</v>
      </c>
      <c r="P167" s="43"/>
      <c r="Q167" s="43"/>
      <c r="R167" s="43"/>
      <c r="S167" s="43"/>
      <c r="T167" s="43"/>
      <c r="U167" s="43"/>
      <c r="V167" s="45">
        <f>VLOOKUP(VALUE(LEFT($A167, 4)), 'Raw Annual EBITDA'!$A:V, 22, FALSE) / 4
</f>
        <v>-82000</v>
      </c>
      <c r="W167" s="43"/>
      <c r="X167" s="45">
        <f>VLOOKUP(VALUE(LEFT($A169, 4)), 'Raw Annual EBITDA'!$A:X, 24, FALSE) / 4
</f>
        <v>55822</v>
      </c>
      <c r="Y167" s="43"/>
      <c r="Z167" s="43"/>
      <c r="AA167" s="43"/>
      <c r="AB167" s="43"/>
      <c r="AC167" s="43"/>
      <c r="AD167" s="43"/>
    </row>
    <row r="168">
      <c r="A168" s="42" t="s">
        <v>80</v>
      </c>
      <c r="B168" s="43"/>
      <c r="C168" s="45">
        <f>VLOOKUP(VALUE(LEFT(A168, 4)), 'Raw Annual EBITDA'!A:C, 3, FALSE) / 4
</f>
        <v>127507</v>
      </c>
      <c r="D168" s="45">
        <f>VLOOKUP(VALUE(LEFT(A168, 4)), 'Raw Annual EBITDA'!A:D, 4, FALSE) / 4
</f>
        <v>154309.25</v>
      </c>
      <c r="E168" s="45">
        <f>VLOOKUP(VALUE(LEFT(A168, 4)), 'Raw Annual EBITDA'!A:E, 5, FALSE) / 4
</f>
        <v>29345.25</v>
      </c>
      <c r="F168" s="45">
        <f>VLOOKUP(VALUE(LEFT(A168, 4)), 'Raw Annual EBITDA'!A:F, 6, FALSE) / 4</f>
        <v>47828.5</v>
      </c>
      <c r="G168" s="43"/>
      <c r="H168" s="43"/>
      <c r="I168" s="43"/>
      <c r="J168" s="45">
        <f>VLOOKUP(VALUE(LEFT(A56, 4)), 'Raw Annual EBITDA'!A:J, 10, FALSE) / 4</f>
        <v>-1103.5</v>
      </c>
      <c r="K168" s="43"/>
      <c r="L168" s="45">
        <f>VLOOKUP(VALUE(LEFT($A168, 4)), 'Raw Annual EBITDA'!$A:L, 12, FALSE) / 4</f>
        <v>27857.25</v>
      </c>
      <c r="M168" s="43"/>
      <c r="N168" s="43"/>
      <c r="O168" s="47">
        <f>VLOOKUP(VALUE(LEFT(A170, 4)), 'Raw Annual EBITDA'!A:O, 15, FALSE) / 4
</f>
        <v>2787.75</v>
      </c>
      <c r="P168" s="43"/>
      <c r="Q168" s="43"/>
      <c r="R168" s="43"/>
      <c r="S168" s="43"/>
      <c r="T168" s="43"/>
      <c r="U168" s="43"/>
      <c r="V168" s="45">
        <f>VLOOKUP(VALUE(LEFT($A168, 4)), 'Raw Annual EBITDA'!$A:V, 22, FALSE) / 4
</f>
        <v>-82000</v>
      </c>
      <c r="W168" s="43"/>
      <c r="X168" s="45">
        <f>VLOOKUP(VALUE(LEFT($A170, 4)), 'Raw Annual EBITDA'!$A:X, 24, FALSE) / 4
</f>
        <v>23114.25</v>
      </c>
      <c r="Y168" s="43"/>
      <c r="Z168" s="43"/>
      <c r="AA168" s="43"/>
      <c r="AB168" s="43"/>
      <c r="AC168" s="43"/>
      <c r="AD168" s="43"/>
    </row>
    <row r="169">
      <c r="A169" s="42" t="s">
        <v>81</v>
      </c>
      <c r="B169" s="43"/>
      <c r="C169" s="45">
        <f>VLOOKUP(VALUE(LEFT(A169, 4)), 'Raw Annual EBITDA'!A:C, 3, FALSE) / 4
</f>
        <v>127507</v>
      </c>
      <c r="D169" s="45">
        <f>VLOOKUP(VALUE(LEFT(A169, 4)), 'Raw Annual EBITDA'!A:D, 4, FALSE) / 4
</f>
        <v>154309.25</v>
      </c>
      <c r="E169" s="45">
        <f>VLOOKUP(VALUE(LEFT(A169, 4)), 'Raw Annual EBITDA'!A:E, 5, FALSE) / 4
</f>
        <v>29345.25</v>
      </c>
      <c r="F169" s="45">
        <f>VLOOKUP(VALUE(LEFT(A169, 4)), 'Raw Annual EBITDA'!A:F, 6, FALSE) / 4</f>
        <v>47828.5</v>
      </c>
      <c r="G169" s="43"/>
      <c r="H169" s="43"/>
      <c r="I169" s="43"/>
      <c r="J169" s="45">
        <f>VLOOKUP(VALUE(LEFT(A57, 4)), 'Raw Annual EBITDA'!A:J, 10, FALSE) / 4</f>
        <v>-1103.5</v>
      </c>
      <c r="K169" s="43"/>
      <c r="L169" s="45">
        <f>VLOOKUP(VALUE(LEFT($A169, 4)), 'Raw Annual EBITDA'!$A:L, 12, FALSE) / 4</f>
        <v>27857.25</v>
      </c>
      <c r="M169" s="43"/>
      <c r="N169" s="43"/>
      <c r="O169" s="47">
        <f>VLOOKUP(VALUE(LEFT(A171, 4)), 'Raw Annual EBITDA'!A:O, 15, FALSE) / 4
</f>
        <v>2787.75</v>
      </c>
      <c r="P169" s="43"/>
      <c r="Q169" s="43"/>
      <c r="R169" s="43"/>
      <c r="S169" s="43"/>
      <c r="T169" s="43"/>
      <c r="U169" s="43"/>
      <c r="V169" s="45">
        <f>VLOOKUP(VALUE(LEFT($A169, 4)), 'Raw Annual EBITDA'!$A:V, 22, FALSE) / 4
</f>
        <v>-82000</v>
      </c>
      <c r="W169" s="43"/>
      <c r="X169" s="45">
        <f>VLOOKUP(VALUE(LEFT($A171, 4)), 'Raw Annual EBITDA'!$A:X, 24, FALSE) / 4
</f>
        <v>23114.25</v>
      </c>
      <c r="Y169" s="43"/>
      <c r="Z169" s="43"/>
      <c r="AA169" s="43"/>
      <c r="AB169" s="43"/>
      <c r="AC169" s="43"/>
      <c r="AD169" s="43"/>
    </row>
    <row r="170">
      <c r="A170" s="42" t="s">
        <v>82</v>
      </c>
      <c r="B170" s="43"/>
      <c r="C170" s="45">
        <f>VLOOKUP(VALUE(LEFT(A170, 4)), 'Raw Annual EBITDA'!A:C, 3, FALSE) / 4
</f>
        <v>209315.25</v>
      </c>
      <c r="D170" s="45">
        <f>VLOOKUP(VALUE(LEFT(A170, 4)), 'Raw Annual EBITDA'!A:D, 4, FALSE) / 4
</f>
        <v>162881</v>
      </c>
      <c r="E170" s="45">
        <f>VLOOKUP(VALUE(LEFT(A170, 4)), 'Raw Annual EBITDA'!A:E, 5, FALSE) / 4
</f>
        <v>46275.25</v>
      </c>
      <c r="F170" s="45">
        <f>VLOOKUP(VALUE(LEFT(A170, 4)), 'Raw Annual EBITDA'!A:F, 6, FALSE) / 4</f>
        <v>63445</v>
      </c>
      <c r="G170" s="43"/>
      <c r="H170" s="43"/>
      <c r="I170" s="43"/>
      <c r="J170" s="45">
        <f>VLOOKUP(VALUE(LEFT(A58, 4)), 'Raw Annual EBITDA'!A:J, 10, FALSE) / 4</f>
        <v>-1103.5</v>
      </c>
      <c r="K170" s="43"/>
      <c r="L170" s="45">
        <f>VLOOKUP(VALUE(LEFT($A170, 4)), 'Raw Annual EBITDA'!$A:L, 12, FALSE) / 4</f>
        <v>35123.75</v>
      </c>
      <c r="M170" s="43"/>
      <c r="N170" s="43"/>
      <c r="O170" s="47">
        <f>VLOOKUP(VALUE(LEFT(A172, 4)), 'Raw Annual EBITDA'!A:O, 15, FALSE) / 4
</f>
        <v>2787.75</v>
      </c>
      <c r="P170" s="43"/>
      <c r="Q170" s="43"/>
      <c r="R170" s="43"/>
      <c r="S170" s="43"/>
      <c r="T170" s="43"/>
      <c r="U170" s="43"/>
      <c r="V170" s="45">
        <f>VLOOKUP(VALUE(LEFT($A170, 4)), 'Raw Annual EBITDA'!$A:V, 22, FALSE) / 4
</f>
        <v>-13964</v>
      </c>
      <c r="W170" s="43"/>
      <c r="X170" s="45">
        <f>VLOOKUP(VALUE(LEFT($A172, 4)), 'Raw Annual EBITDA'!$A:X, 24, FALSE) / 4
</f>
        <v>23114.25</v>
      </c>
      <c r="Y170" s="43"/>
      <c r="Z170" s="43"/>
      <c r="AA170" s="43"/>
      <c r="AB170" s="43"/>
      <c r="AC170" s="43"/>
      <c r="AD170" s="43"/>
    </row>
    <row r="171">
      <c r="A171" s="42" t="s">
        <v>83</v>
      </c>
      <c r="B171" s="43"/>
      <c r="C171" s="45">
        <f>VLOOKUP(VALUE(LEFT(A171, 4)), 'Raw Annual EBITDA'!A:C, 3, FALSE) / 4
</f>
        <v>209315.25</v>
      </c>
      <c r="D171" s="45">
        <f>VLOOKUP(VALUE(LEFT(A171, 4)), 'Raw Annual EBITDA'!A:D, 4, FALSE) / 4
</f>
        <v>162881</v>
      </c>
      <c r="E171" s="45">
        <f>VLOOKUP(VALUE(LEFT(A171, 4)), 'Raw Annual EBITDA'!A:E, 5, FALSE) / 4
</f>
        <v>46275.25</v>
      </c>
      <c r="F171" s="45">
        <f>VLOOKUP(VALUE(LEFT(A171, 4)), 'Raw Annual EBITDA'!A:F, 6, FALSE) / 4</f>
        <v>63445</v>
      </c>
      <c r="G171" s="43"/>
      <c r="H171" s="43"/>
      <c r="I171" s="43"/>
      <c r="J171" s="45">
        <f>VLOOKUP(VALUE(LEFT(A59, 4)), 'Raw Annual EBITDA'!A:J, 10, FALSE) / 4</f>
        <v>1514.25</v>
      </c>
      <c r="K171" s="43"/>
      <c r="L171" s="45">
        <f>VLOOKUP(VALUE(LEFT($A171, 4)), 'Raw Annual EBITDA'!$A:L, 12, FALSE) / 4</f>
        <v>35123.75</v>
      </c>
      <c r="M171" s="43"/>
      <c r="N171" s="43"/>
      <c r="O171" s="47">
        <f>VLOOKUP(VALUE(LEFT(A173, 4)), 'Raw Annual EBITDA'!A:O, 15, FALSE) / 4
</f>
        <v>2787.75</v>
      </c>
      <c r="P171" s="43"/>
      <c r="Q171" s="43"/>
      <c r="R171" s="43"/>
      <c r="S171" s="43"/>
      <c r="T171" s="43"/>
      <c r="U171" s="43"/>
      <c r="V171" s="45">
        <f>VLOOKUP(VALUE(LEFT($A171, 4)), 'Raw Annual EBITDA'!$A:V, 22, FALSE) / 4
</f>
        <v>-13964</v>
      </c>
      <c r="W171" s="43"/>
      <c r="X171" s="45">
        <f>VLOOKUP(VALUE(LEFT($A173, 4)), 'Raw Annual EBITDA'!$A:X, 24, FALSE) / 4
</f>
        <v>23114.25</v>
      </c>
      <c r="Y171" s="43"/>
      <c r="Z171" s="43"/>
      <c r="AA171" s="43"/>
      <c r="AB171" s="43"/>
      <c r="AC171" s="43"/>
      <c r="AD171" s="43"/>
    </row>
    <row r="172">
      <c r="A172" s="42" t="s">
        <v>84</v>
      </c>
      <c r="B172" s="43"/>
      <c r="C172" s="45">
        <f>VLOOKUP(VALUE(LEFT(A172, 4)), 'Raw Annual EBITDA'!A:C, 3, FALSE) / 4
</f>
        <v>209315.25</v>
      </c>
      <c r="D172" s="45">
        <f>VLOOKUP(VALUE(LEFT(A172, 4)), 'Raw Annual EBITDA'!A:D, 4, FALSE) / 4
</f>
        <v>162881</v>
      </c>
      <c r="E172" s="45">
        <f>VLOOKUP(VALUE(LEFT(A172, 4)), 'Raw Annual EBITDA'!A:E, 5, FALSE) / 4
</f>
        <v>46275.25</v>
      </c>
      <c r="F172" s="45">
        <f>VLOOKUP(VALUE(LEFT(A172, 4)), 'Raw Annual EBITDA'!A:F, 6, FALSE) / 4</f>
        <v>63445</v>
      </c>
      <c r="G172" s="43"/>
      <c r="H172" s="43"/>
      <c r="I172" s="43"/>
      <c r="J172" s="45">
        <f>VLOOKUP(VALUE(LEFT(A60, 4)), 'Raw Annual EBITDA'!A:J, 10, FALSE) / 4</f>
        <v>1514.25</v>
      </c>
      <c r="K172" s="43"/>
      <c r="L172" s="45">
        <f>VLOOKUP(VALUE(LEFT($A172, 4)), 'Raw Annual EBITDA'!$A:L, 12, FALSE) / 4</f>
        <v>35123.75</v>
      </c>
      <c r="M172" s="43"/>
      <c r="N172" s="43"/>
      <c r="O172" s="47">
        <f>VLOOKUP(VALUE(LEFT(A174, 4)), 'Raw Annual EBITDA'!A:O, 15, FALSE) / 4
</f>
        <v>3665.75</v>
      </c>
      <c r="P172" s="43"/>
      <c r="Q172" s="43"/>
      <c r="R172" s="43"/>
      <c r="S172" s="43"/>
      <c r="T172" s="43"/>
      <c r="U172" s="43"/>
      <c r="V172" s="45">
        <f>VLOOKUP(VALUE(LEFT($A172, 4)), 'Raw Annual EBITDA'!$A:V, 22, FALSE) / 4
</f>
        <v>-13964</v>
      </c>
      <c r="W172" s="43"/>
      <c r="X172" s="45">
        <f>VLOOKUP(VALUE(LEFT($A174, 4)), 'Raw Annual EBITDA'!$A:X, 24, FALSE) / 4
</f>
        <v>54184.75</v>
      </c>
      <c r="Y172" s="43"/>
      <c r="Z172" s="43"/>
      <c r="AA172" s="43"/>
      <c r="AB172" s="43"/>
      <c r="AC172" s="43"/>
      <c r="AD172" s="43"/>
    </row>
    <row r="173">
      <c r="A173" s="42" t="s">
        <v>85</v>
      </c>
      <c r="B173" s="43"/>
      <c r="C173" s="45">
        <f>VLOOKUP(VALUE(LEFT(A173, 4)), 'Raw Annual EBITDA'!A:C, 3, FALSE) / 4
</f>
        <v>209315.25</v>
      </c>
      <c r="D173" s="45">
        <f>VLOOKUP(VALUE(LEFT(A173, 4)), 'Raw Annual EBITDA'!A:D, 4, FALSE) / 4
</f>
        <v>162881</v>
      </c>
      <c r="E173" s="45">
        <f>VLOOKUP(VALUE(LEFT(A173, 4)), 'Raw Annual EBITDA'!A:E, 5, FALSE) / 4
</f>
        <v>46275.25</v>
      </c>
      <c r="F173" s="45">
        <f>VLOOKUP(VALUE(LEFT(A173, 4)), 'Raw Annual EBITDA'!A:F, 6, FALSE) / 4</f>
        <v>63445</v>
      </c>
      <c r="G173" s="43"/>
      <c r="H173" s="43"/>
      <c r="I173" s="43"/>
      <c r="J173" s="45">
        <f>VLOOKUP(VALUE(LEFT(A61, 4)), 'Raw Annual EBITDA'!A:J, 10, FALSE) / 4</f>
        <v>1514.25</v>
      </c>
      <c r="K173" s="43"/>
      <c r="L173" s="45">
        <f>VLOOKUP(VALUE(LEFT($A173, 4)), 'Raw Annual EBITDA'!$A:L, 12, FALSE) / 4</f>
        <v>35123.75</v>
      </c>
      <c r="M173" s="43"/>
      <c r="N173" s="43"/>
      <c r="O173" s="47">
        <f>VLOOKUP(VALUE(LEFT(A175, 4)), 'Raw Annual EBITDA'!A:O, 15, FALSE) / 4
</f>
        <v>3665.75</v>
      </c>
      <c r="P173" s="43"/>
      <c r="Q173" s="43"/>
      <c r="R173" s="43"/>
      <c r="S173" s="43"/>
      <c r="T173" s="43"/>
      <c r="U173" s="43"/>
      <c r="V173" s="45">
        <f>VLOOKUP(VALUE(LEFT($A173, 4)), 'Raw Annual EBITDA'!$A:V, 22, FALSE) / 4
</f>
        <v>-13964</v>
      </c>
      <c r="W173" s="43"/>
      <c r="X173" s="45">
        <f>VLOOKUP(VALUE(LEFT($A175, 4)), 'Raw Annual EBITDA'!$A:X, 24, FALSE) / 4
</f>
        <v>54184.75</v>
      </c>
      <c r="Y173" s="43"/>
      <c r="Z173" s="43"/>
      <c r="AA173" s="43"/>
      <c r="AB173" s="43"/>
      <c r="AC173" s="43"/>
      <c r="AD173" s="43"/>
    </row>
    <row r="174">
      <c r="A174" s="42" t="s">
        <v>86</v>
      </c>
      <c r="B174" s="43"/>
      <c r="C174" s="45">
        <f>VLOOKUP(VALUE(LEFT(A174, 4)), 'Raw Annual EBITDA'!A:C, 3, FALSE) / 4
</f>
        <v>363186.5</v>
      </c>
      <c r="D174" s="45">
        <f>VLOOKUP(VALUE(LEFT(A174, 4)), 'Raw Annual EBITDA'!A:D, 4, FALSE) / 4
</f>
        <v>163849.5</v>
      </c>
      <c r="E174" s="45">
        <f>VLOOKUP(VALUE(LEFT(A174, 4)), 'Raw Annual EBITDA'!A:E, 5, FALSE) / 4
</f>
        <v>50528.25</v>
      </c>
      <c r="F174" s="45">
        <f>VLOOKUP(VALUE(LEFT(A174, 4)), 'Raw Annual EBITDA'!A:F, 6, FALSE) / 4</f>
        <v>76393.5</v>
      </c>
      <c r="G174" s="43"/>
      <c r="H174" s="43"/>
      <c r="I174" s="43"/>
      <c r="J174" s="45">
        <f>VLOOKUP(VALUE(LEFT(A62, 4)), 'Raw Annual EBITDA'!A:J, 10, FALSE) / 4</f>
        <v>1514.25</v>
      </c>
      <c r="K174" s="43"/>
      <c r="L174" s="45">
        <f>VLOOKUP(VALUE(LEFT($A174, 4)), 'Raw Annual EBITDA'!$A:L, 12, FALSE) / 4</f>
        <v>43004.5</v>
      </c>
      <c r="M174" s="43"/>
      <c r="N174" s="43"/>
      <c r="O174" s="47">
        <f>VLOOKUP(VALUE(LEFT(A176, 4)), 'Raw Annual EBITDA'!A:O, 15, FALSE) / 4
</f>
        <v>3665.75</v>
      </c>
      <c r="P174" s="43"/>
      <c r="Q174" s="43"/>
      <c r="R174" s="43"/>
      <c r="S174" s="43"/>
      <c r="T174" s="43"/>
      <c r="U174" s="43"/>
      <c r="V174" s="45">
        <f>VLOOKUP(VALUE(LEFT($A174, 4)), 'Raw Annual EBITDA'!$A:V, 22, FALSE) / 4
</f>
        <v>-8806.5</v>
      </c>
      <c r="W174" s="43"/>
      <c r="X174" s="45">
        <f>VLOOKUP(VALUE(LEFT($A176, 4)), 'Raw Annual EBITDA'!$A:X, 24, FALSE) / 4
</f>
        <v>54184.75</v>
      </c>
      <c r="Y174" s="43"/>
      <c r="Z174" s="43"/>
      <c r="AA174" s="43"/>
      <c r="AB174" s="43"/>
      <c r="AC174" s="43"/>
      <c r="AD174" s="43"/>
    </row>
    <row r="175">
      <c r="A175" s="42" t="s">
        <v>87</v>
      </c>
      <c r="B175" s="43"/>
      <c r="C175" s="45">
        <f>VLOOKUP(VALUE(LEFT(A175, 4)), 'Raw Annual EBITDA'!A:C, 3, FALSE) / 4
</f>
        <v>363186.5</v>
      </c>
      <c r="D175" s="45">
        <f>VLOOKUP(VALUE(LEFT(A175, 4)), 'Raw Annual EBITDA'!A:D, 4, FALSE) / 4
</f>
        <v>163849.5</v>
      </c>
      <c r="E175" s="45">
        <f>VLOOKUP(VALUE(LEFT(A175, 4)), 'Raw Annual EBITDA'!A:E, 5, FALSE) / 4
</f>
        <v>50528.25</v>
      </c>
      <c r="F175" s="45">
        <f>VLOOKUP(VALUE(LEFT(A175, 4)), 'Raw Annual EBITDA'!A:F, 6, FALSE) / 4</f>
        <v>76393.5</v>
      </c>
      <c r="G175" s="43"/>
      <c r="H175" s="45">
        <f>VLOOKUP(VALUE(LEFT(A63, 4)), 'Raw Annual EBITDA'!A:H, 8, FALSE) / 4</f>
        <v>30031.75</v>
      </c>
      <c r="I175" s="43"/>
      <c r="J175" s="45">
        <f>VLOOKUP(VALUE(LEFT(A63, 4)), 'Raw Annual EBITDA'!A:J, 10, FALSE) / 4</f>
        <v>1716.5</v>
      </c>
      <c r="K175" s="43"/>
      <c r="L175" s="45">
        <f>VLOOKUP(VALUE(LEFT($A175, 4)), 'Raw Annual EBITDA'!$A:L, 12, FALSE) / 4</f>
        <v>43004.5</v>
      </c>
      <c r="M175" s="43"/>
      <c r="N175" s="43"/>
      <c r="O175" s="47">
        <f>VLOOKUP(VALUE(LEFT(A177, 4)), 'Raw Annual EBITDA'!A:O, 15, FALSE) / 4
</f>
        <v>3665.75</v>
      </c>
      <c r="P175" s="43"/>
      <c r="Q175" s="43"/>
      <c r="R175" s="43"/>
      <c r="S175" s="43"/>
      <c r="T175" s="43"/>
      <c r="U175" s="43"/>
      <c r="V175" s="45">
        <f>VLOOKUP(VALUE(LEFT($A175, 4)), 'Raw Annual EBITDA'!$A:V, 22, FALSE) / 4
</f>
        <v>-8806.5</v>
      </c>
      <c r="W175" s="43"/>
      <c r="X175" s="45">
        <f>VLOOKUP(VALUE(LEFT($A177, 4)), 'Raw Annual EBITDA'!$A:X, 24, FALSE) / 4
</f>
        <v>54184.75</v>
      </c>
      <c r="Y175" s="43"/>
      <c r="Z175" s="43"/>
      <c r="AA175" s="43"/>
      <c r="AB175" s="43"/>
      <c r="AC175" s="43"/>
      <c r="AD175" s="43"/>
    </row>
    <row r="176">
      <c r="A176" s="42" t="s">
        <v>88</v>
      </c>
      <c r="B176" s="43"/>
      <c r="C176" s="45">
        <f>VLOOKUP(VALUE(LEFT(A176, 4)), 'Raw Annual EBITDA'!A:C, 3, FALSE) / 4
</f>
        <v>363186.5</v>
      </c>
      <c r="D176" s="45">
        <f>VLOOKUP(VALUE(LEFT(A176, 4)), 'Raw Annual EBITDA'!A:D, 4, FALSE) / 4
</f>
        <v>163849.5</v>
      </c>
      <c r="E176" s="45">
        <f>VLOOKUP(VALUE(LEFT(A176, 4)), 'Raw Annual EBITDA'!A:E, 5, FALSE) / 4
</f>
        <v>50528.25</v>
      </c>
      <c r="F176" s="45">
        <f>VLOOKUP(VALUE(LEFT(A176, 4)), 'Raw Annual EBITDA'!A:F, 6, FALSE) / 4</f>
        <v>76393.5</v>
      </c>
      <c r="G176" s="43"/>
      <c r="H176" s="45">
        <f>VLOOKUP(VALUE(LEFT(A64, 4)), 'Raw Annual EBITDA'!A:H, 8, FALSE) / 4</f>
        <v>30031.75</v>
      </c>
      <c r="I176" s="43"/>
      <c r="J176" s="45">
        <f>VLOOKUP(VALUE(LEFT(A64, 4)), 'Raw Annual EBITDA'!A:J, 10, FALSE) / 4</f>
        <v>1716.5</v>
      </c>
      <c r="K176" s="43"/>
      <c r="L176" s="45">
        <f>VLOOKUP(VALUE(LEFT($A176, 4)), 'Raw Annual EBITDA'!$A:L, 12, FALSE) / 4</f>
        <v>43004.5</v>
      </c>
      <c r="M176" s="43"/>
      <c r="N176" s="43"/>
      <c r="O176" s="47">
        <f>VLOOKUP(VALUE(LEFT(A178, 4)), 'Raw Annual EBITDA'!A:O, 15, FALSE) / 4
</f>
        <v>4642.75</v>
      </c>
      <c r="P176" s="43"/>
      <c r="Q176" s="43"/>
      <c r="R176" s="43"/>
      <c r="S176" s="43"/>
      <c r="T176" s="43"/>
      <c r="U176" s="43"/>
      <c r="V176" s="45">
        <f>VLOOKUP(VALUE(LEFT($A176, 4)), 'Raw Annual EBITDA'!$A:V, 22, FALSE) / 4
</f>
        <v>-8806.5</v>
      </c>
      <c r="W176" s="43"/>
      <c r="X176" s="45">
        <f>VLOOKUP(VALUE(LEFT($A178, 4)), 'Raw Annual EBITDA'!$A:X, 24, FALSE) / 4
</f>
        <v>85924.5</v>
      </c>
      <c r="Y176" s="43"/>
      <c r="Z176" s="43"/>
      <c r="AA176" s="43"/>
      <c r="AB176" s="43"/>
      <c r="AC176" s="43"/>
      <c r="AD176" s="43"/>
    </row>
    <row r="177">
      <c r="A177" s="42" t="s">
        <v>89</v>
      </c>
      <c r="B177" s="43"/>
      <c r="C177" s="45">
        <f>VLOOKUP(VALUE(LEFT(A177, 4)), 'Raw Annual EBITDA'!A:C, 3, FALSE) / 4
</f>
        <v>363186.5</v>
      </c>
      <c r="D177" s="45">
        <f>VLOOKUP(VALUE(LEFT(A177, 4)), 'Raw Annual EBITDA'!A:D, 4, FALSE) / 4
</f>
        <v>163849.5</v>
      </c>
      <c r="E177" s="45">
        <f>VLOOKUP(VALUE(LEFT(A177, 4)), 'Raw Annual EBITDA'!A:E, 5, FALSE) / 4
</f>
        <v>50528.25</v>
      </c>
      <c r="F177" s="45">
        <f>VLOOKUP(VALUE(LEFT(A177, 4)), 'Raw Annual EBITDA'!A:F, 6, FALSE) / 4</f>
        <v>76393.5</v>
      </c>
      <c r="G177" s="43"/>
      <c r="H177" s="45">
        <f>VLOOKUP(VALUE(LEFT(A65, 4)), 'Raw Annual EBITDA'!A:H, 8, FALSE) / 4</f>
        <v>30031.75</v>
      </c>
      <c r="I177" s="43"/>
      <c r="J177" s="45">
        <f>VLOOKUP(VALUE(LEFT(A65, 4)), 'Raw Annual EBITDA'!A:J, 10, FALSE) / 4</f>
        <v>1716.5</v>
      </c>
      <c r="K177" s="43"/>
      <c r="L177" s="45">
        <f>VLOOKUP(VALUE(LEFT($A177, 4)), 'Raw Annual EBITDA'!$A:L, 12, FALSE) / 4</f>
        <v>43004.5</v>
      </c>
      <c r="M177" s="43"/>
      <c r="N177" s="43"/>
      <c r="O177" s="47">
        <f>VLOOKUP(VALUE(LEFT(A179, 4)), 'Raw Annual EBITDA'!A:O, 15, FALSE) / 4
</f>
        <v>4642.75</v>
      </c>
      <c r="P177" s="43"/>
      <c r="Q177" s="43"/>
      <c r="R177" s="43"/>
      <c r="S177" s="43"/>
      <c r="T177" s="43"/>
      <c r="U177" s="43"/>
      <c r="V177" s="45">
        <f>VLOOKUP(VALUE(LEFT($A177, 4)), 'Raw Annual EBITDA'!$A:V, 22, FALSE) / 4
</f>
        <v>-8806.5</v>
      </c>
      <c r="W177" s="43"/>
      <c r="X177" s="45">
        <f>VLOOKUP(VALUE(LEFT($A179, 4)), 'Raw Annual EBITDA'!$A:X, 24, FALSE) / 4
</f>
        <v>85924.5</v>
      </c>
      <c r="Y177" s="43"/>
      <c r="Z177" s="43"/>
      <c r="AA177" s="43"/>
      <c r="AB177" s="43"/>
      <c r="AC177" s="43"/>
      <c r="AD177" s="43"/>
    </row>
    <row r="178">
      <c r="A178" s="42" t="s">
        <v>90</v>
      </c>
      <c r="B178" s="43"/>
      <c r="C178" s="45">
        <f>VLOOKUP(VALUE(LEFT(A178, 4)), 'Raw Annual EBITDA'!A:C, 3, FALSE) / 4
</f>
        <v>473733.5</v>
      </c>
      <c r="D178" s="45">
        <f>VLOOKUP(VALUE(LEFT(A178, 4)), 'Raw Annual EBITDA'!A:D, 4, FALSE) / 4
</f>
        <v>186175.25</v>
      </c>
      <c r="E178" s="45">
        <f>VLOOKUP(VALUE(LEFT(A178, 4)), 'Raw Annual EBITDA'!A:E, 5, FALSE) / 4
</f>
        <v>35133.25</v>
      </c>
      <c r="F178" s="45">
        <f>VLOOKUP(VALUE(LEFT(A178, 4)), 'Raw Annual EBITDA'!A:F, 6, FALSE) / 4</f>
        <v>80500</v>
      </c>
      <c r="G178" s="43"/>
      <c r="H178" s="45">
        <f>VLOOKUP(VALUE(LEFT(A66, 4)), 'Raw Annual EBITDA'!A:H, 8, FALSE) / 4</f>
        <v>30031.75</v>
      </c>
      <c r="I178" s="43"/>
      <c r="J178" s="45">
        <f>VLOOKUP(VALUE(LEFT(A66, 4)), 'Raw Annual EBITDA'!A:J, 10, FALSE) / 4</f>
        <v>1716.5</v>
      </c>
      <c r="K178" s="43"/>
      <c r="L178" s="45">
        <f>VLOOKUP(VALUE(LEFT($A178, 4)), 'Raw Annual EBITDA'!$A:L, 12, FALSE) / 4</f>
        <v>53070.75</v>
      </c>
      <c r="M178" s="43"/>
      <c r="N178" s="43"/>
      <c r="O178" s="47">
        <f>VLOOKUP(VALUE(LEFT(A180, 4)), 'Raw Annual EBITDA'!A:O, 15, FALSE) / 4
</f>
        <v>4642.75</v>
      </c>
      <c r="P178" s="43"/>
      <c r="Q178" s="43"/>
      <c r="R178" s="45"/>
      <c r="S178" s="45">
        <f>VLOOKUP(VALUE(LEFT(A178, 4)), 'Raw Annual EBITDA'!A:S, 19, FALSE) / 4</f>
        <v>3732.5</v>
      </c>
      <c r="T178" s="43"/>
      <c r="U178" s="43"/>
      <c r="V178" s="45">
        <f>VLOOKUP(VALUE(LEFT($A178, 4)), 'Raw Annual EBITDA'!$A:V, 22, FALSE) / 4
</f>
        <v>-74641.25</v>
      </c>
      <c r="W178" s="43"/>
      <c r="X178" s="45">
        <f>VLOOKUP(VALUE(LEFT($A180, 4)), 'Raw Annual EBITDA'!$A:X, 24, FALSE) / 4
</f>
        <v>85924.5</v>
      </c>
      <c r="Y178" s="43"/>
      <c r="Z178" s="43"/>
      <c r="AA178" s="43"/>
      <c r="AB178" s="43"/>
      <c r="AC178" s="43"/>
      <c r="AD178" s="43"/>
    </row>
    <row r="179">
      <c r="A179" s="42" t="s">
        <v>91</v>
      </c>
      <c r="B179" s="43"/>
      <c r="C179" s="45">
        <f>VLOOKUP(VALUE(LEFT(A179, 4)), 'Raw Annual EBITDA'!A:C, 3, FALSE) / 4
</f>
        <v>473733.5</v>
      </c>
      <c r="D179" s="45">
        <f>VLOOKUP(VALUE(LEFT(A179, 4)), 'Raw Annual EBITDA'!A:D, 4, FALSE) / 4
</f>
        <v>186175.25</v>
      </c>
      <c r="E179" s="45">
        <f>VLOOKUP(VALUE(LEFT(A179, 4)), 'Raw Annual EBITDA'!A:E, 5, FALSE) / 4
</f>
        <v>35133.25</v>
      </c>
      <c r="F179" s="45">
        <f>VLOOKUP(VALUE(LEFT(A179, 4)), 'Raw Annual EBITDA'!A:F, 6, FALSE) / 4</f>
        <v>80500</v>
      </c>
      <c r="G179" s="43"/>
      <c r="H179" s="45">
        <f>VLOOKUP(VALUE(LEFT(A67, 4)), 'Raw Annual EBITDA'!A:H, 8, FALSE) / 4</f>
        <v>32141.25</v>
      </c>
      <c r="I179" s="43"/>
      <c r="J179" s="45">
        <f>VLOOKUP(VALUE(LEFT(A67, 4)), 'Raw Annual EBITDA'!A:J, 10, FALSE) / 4</f>
        <v>-3559.75</v>
      </c>
      <c r="K179" s="43"/>
      <c r="L179" s="45">
        <f>VLOOKUP(VALUE(LEFT($A179, 4)), 'Raw Annual EBITDA'!$A:L, 12, FALSE) / 4</f>
        <v>53070.75</v>
      </c>
      <c r="M179" s="43"/>
      <c r="N179" s="43"/>
      <c r="O179" s="47">
        <f>VLOOKUP(VALUE(LEFT(A181, 4)), 'Raw Annual EBITDA'!A:O, 15, FALSE) / 4
</f>
        <v>4642.75</v>
      </c>
      <c r="P179" s="43"/>
      <c r="Q179" s="43"/>
      <c r="R179" s="45"/>
      <c r="S179" s="45">
        <f>VLOOKUP(VALUE(LEFT(A179, 4)), 'Raw Annual EBITDA'!A:S, 19, FALSE) / 4</f>
        <v>3732.5</v>
      </c>
      <c r="T179" s="43"/>
      <c r="U179" s="43"/>
      <c r="V179" s="45">
        <f>VLOOKUP(VALUE(LEFT($A179, 4)), 'Raw Annual EBITDA'!$A:V, 22, FALSE) / 4
</f>
        <v>-74641.25</v>
      </c>
      <c r="W179" s="43"/>
      <c r="X179" s="45">
        <f>VLOOKUP(VALUE(LEFT($A181, 4)), 'Raw Annual EBITDA'!$A:X, 24, FALSE) / 4
</f>
        <v>85924.5</v>
      </c>
      <c r="Y179" s="43"/>
      <c r="Z179" s="43"/>
      <c r="AA179" s="43"/>
      <c r="AB179" s="43"/>
      <c r="AC179" s="43"/>
      <c r="AD179" s="43"/>
    </row>
    <row r="180">
      <c r="A180" s="42" t="s">
        <v>92</v>
      </c>
      <c r="B180" s="43"/>
      <c r="C180" s="45">
        <f>VLOOKUP(VALUE(LEFT(A180, 4)), 'Raw Annual EBITDA'!A:C, 3, FALSE) / 4
</f>
        <v>473733.5</v>
      </c>
      <c r="D180" s="45">
        <f>VLOOKUP(VALUE(LEFT(A180, 4)), 'Raw Annual EBITDA'!A:D, 4, FALSE) / 4
</f>
        <v>186175.25</v>
      </c>
      <c r="E180" s="45">
        <f>VLOOKUP(VALUE(LEFT(A180, 4)), 'Raw Annual EBITDA'!A:E, 5, FALSE) / 4
</f>
        <v>35133.25</v>
      </c>
      <c r="F180" s="45">
        <f>VLOOKUP(VALUE(LEFT(A180, 4)), 'Raw Annual EBITDA'!A:F, 6, FALSE) / 4</f>
        <v>80500</v>
      </c>
      <c r="G180" s="43"/>
      <c r="H180" s="45">
        <f>VLOOKUP(VALUE(LEFT(A68, 4)), 'Raw Annual EBITDA'!A:H, 8, FALSE) / 4</f>
        <v>32141.25</v>
      </c>
      <c r="I180" s="43"/>
      <c r="J180" s="45">
        <f>VLOOKUP(VALUE(LEFT(A68, 4)), 'Raw Annual EBITDA'!A:J, 10, FALSE) / 4</f>
        <v>-3559.75</v>
      </c>
      <c r="K180" s="43"/>
      <c r="L180" s="45">
        <f>VLOOKUP(VALUE(LEFT($A180, 4)), 'Raw Annual EBITDA'!$A:L, 12, FALSE) / 4</f>
        <v>53070.75</v>
      </c>
      <c r="M180" s="43"/>
      <c r="N180" s="43"/>
      <c r="O180" s="47">
        <f>VLOOKUP(VALUE(LEFT(A182, 4)), 'Raw Annual EBITDA'!A:O, 15, FALSE) / 4
</f>
        <v>2783</v>
      </c>
      <c r="P180" s="43"/>
      <c r="Q180" s="43"/>
      <c r="R180" s="45"/>
      <c r="S180" s="45">
        <f>VLOOKUP(VALUE(LEFT(A180, 4)), 'Raw Annual EBITDA'!A:S, 19, FALSE) / 4</f>
        <v>3732.5</v>
      </c>
      <c r="T180" s="43"/>
      <c r="U180" s="43"/>
      <c r="V180" s="45">
        <f>VLOOKUP(VALUE(LEFT($A180, 4)), 'Raw Annual EBITDA'!$A:V, 22, FALSE) / 4
</f>
        <v>-74641.25</v>
      </c>
      <c r="W180" s="43"/>
      <c r="X180" s="45">
        <f>VLOOKUP(VALUE(LEFT($A182, 4)), 'Raw Annual EBITDA'!$A:X, 24, FALSE) / 4
</f>
        <v>84414.25</v>
      </c>
      <c r="Y180" s="43"/>
      <c r="Z180" s="43"/>
      <c r="AA180" s="43"/>
      <c r="AB180" s="43"/>
      <c r="AC180" s="43"/>
      <c r="AD180" s="43"/>
    </row>
    <row r="181">
      <c r="A181" s="42" t="s">
        <v>93</v>
      </c>
      <c r="B181" s="43"/>
      <c r="C181" s="45">
        <f>VLOOKUP(VALUE(LEFT(A181, 4)), 'Raw Annual EBITDA'!A:C, 3, FALSE) / 4
</f>
        <v>473733.5</v>
      </c>
      <c r="D181" s="45">
        <f>VLOOKUP(VALUE(LEFT(A181, 4)), 'Raw Annual EBITDA'!A:D, 4, FALSE) / 4
</f>
        <v>186175.25</v>
      </c>
      <c r="E181" s="45">
        <f>VLOOKUP(VALUE(LEFT(A181, 4)), 'Raw Annual EBITDA'!A:E, 5, FALSE) / 4
</f>
        <v>35133.25</v>
      </c>
      <c r="F181" s="45">
        <f>VLOOKUP(VALUE(LEFT(A181, 4)), 'Raw Annual EBITDA'!A:F, 6, FALSE) / 4</f>
        <v>80500</v>
      </c>
      <c r="G181" s="43"/>
      <c r="H181" s="45">
        <f>VLOOKUP(VALUE(LEFT(A69, 4)), 'Raw Annual EBITDA'!A:H, 8, FALSE) / 4</f>
        <v>32141.25</v>
      </c>
      <c r="I181" s="43"/>
      <c r="J181" s="45">
        <f>VLOOKUP(VALUE(LEFT(A69, 4)), 'Raw Annual EBITDA'!A:J, 10, FALSE) / 4</f>
        <v>-3559.75</v>
      </c>
      <c r="K181" s="43"/>
      <c r="L181" s="45">
        <f>VLOOKUP(VALUE(LEFT($A181, 4)), 'Raw Annual EBITDA'!$A:L, 12, FALSE) / 4</f>
        <v>53070.75</v>
      </c>
      <c r="M181" s="43"/>
      <c r="N181" s="43"/>
      <c r="O181" s="47">
        <f>VLOOKUP(VALUE(LEFT(A183, 4)), 'Raw Annual EBITDA'!A:O, 15, FALSE) / 4
</f>
        <v>2783</v>
      </c>
      <c r="P181" s="43"/>
      <c r="Q181" s="43"/>
      <c r="R181" s="45"/>
      <c r="S181" s="45">
        <f>VLOOKUP(VALUE(LEFT(A181, 4)), 'Raw Annual EBITDA'!A:S, 19, FALSE) / 4</f>
        <v>3732.5</v>
      </c>
      <c r="T181" s="43"/>
      <c r="U181" s="43"/>
      <c r="V181" s="45">
        <f>VLOOKUP(VALUE(LEFT($A181, 4)), 'Raw Annual EBITDA'!$A:V, 22, FALSE) / 4
</f>
        <v>-74641.25</v>
      </c>
      <c r="W181" s="43"/>
      <c r="X181" s="45">
        <f>VLOOKUP(VALUE(LEFT($A183, 4)), 'Raw Annual EBITDA'!$A:X, 24, FALSE) / 4
</f>
        <v>84414.25</v>
      </c>
      <c r="Y181" s="43"/>
      <c r="Z181" s="43"/>
      <c r="AA181" s="43"/>
      <c r="AB181" s="43"/>
      <c r="AC181" s="43"/>
      <c r="AD181" s="43"/>
    </row>
    <row r="182">
      <c r="A182" s="42" t="s">
        <v>94</v>
      </c>
      <c r="B182" s="43"/>
      <c r="C182" s="45">
        <f>VLOOKUP(VALUE(LEFT(A182, 4)), 'Raw Annual EBITDA'!A:C, 3, FALSE) / 4
</f>
        <v>632597.25</v>
      </c>
      <c r="D182" s="45">
        <f>VLOOKUP(VALUE(LEFT(A182, 4)), 'Raw Annual EBITDA'!A:D, 4, FALSE) / 4
</f>
        <v>198481.5</v>
      </c>
      <c r="E182" s="45">
        <f>VLOOKUP(VALUE(LEFT(A182, 4)), 'Raw Annual EBITDA'!A:E, 5, FALSE) / 4
</f>
        <v>45990.25</v>
      </c>
      <c r="F182" s="45">
        <f>VLOOKUP(VALUE(LEFT(A182, 4)), 'Raw Annual EBITDA'!A:F, 6, FALSE) / 4</f>
        <v>82500</v>
      </c>
      <c r="G182" s="43"/>
      <c r="H182" s="45">
        <f>VLOOKUP(VALUE(LEFT(A70, 4)), 'Raw Annual EBITDA'!A:H, 8, FALSE) / 4</f>
        <v>32141.25</v>
      </c>
      <c r="I182" s="43"/>
      <c r="J182" s="45">
        <f>VLOOKUP(VALUE(LEFT(A70, 4)), 'Raw Annual EBITDA'!A:J, 10, FALSE) / 4</f>
        <v>-3559.75</v>
      </c>
      <c r="K182" s="43"/>
      <c r="L182" s="45">
        <f>VLOOKUP(VALUE(LEFT($A182, 4)), 'Raw Annual EBITDA'!$A:L, 12, FALSE) / 4</f>
        <v>68002.5</v>
      </c>
      <c r="M182" s="43"/>
      <c r="N182" s="43"/>
      <c r="O182" s="47">
        <f>VLOOKUP(VALUE(LEFT(A184, 4)), 'Raw Annual EBITDA'!A:O, 15, FALSE) / 4
</f>
        <v>2783</v>
      </c>
      <c r="P182" s="43"/>
      <c r="Q182" s="43"/>
      <c r="R182" s="45"/>
      <c r="S182" s="45">
        <f>VLOOKUP(VALUE(LEFT(A182, 4)), 'Raw Annual EBITDA'!A:S, 19, FALSE) / 4</f>
        <v>7241</v>
      </c>
      <c r="T182" s="43"/>
      <c r="U182" s="43"/>
      <c r="V182" s="45">
        <f>VLOOKUP(VALUE(LEFT($A182, 4)), 'Raw Annual EBITDA'!$A:V, 22, FALSE) / 4
</f>
        <v>20</v>
      </c>
      <c r="W182" s="43"/>
      <c r="X182" s="45">
        <f>VLOOKUP(VALUE(LEFT($A184, 4)), 'Raw Annual EBITDA'!$A:X, 24, FALSE) / 4
</f>
        <v>84414.25</v>
      </c>
      <c r="Y182" s="45"/>
      <c r="Z182" s="43"/>
      <c r="AA182" s="43"/>
      <c r="AB182" s="43"/>
      <c r="AC182" s="43"/>
      <c r="AD182" s="43"/>
    </row>
    <row r="183">
      <c r="A183" s="42" t="s">
        <v>95</v>
      </c>
      <c r="B183" s="43"/>
      <c r="C183" s="45">
        <f>VLOOKUP(VALUE(LEFT(A183, 4)), 'Raw Annual EBITDA'!A:C, 3, FALSE) / 4
</f>
        <v>632597.25</v>
      </c>
      <c r="D183" s="45">
        <f>VLOOKUP(VALUE(LEFT(A183, 4)), 'Raw Annual EBITDA'!A:D, 4, FALSE) / 4
</f>
        <v>198481.5</v>
      </c>
      <c r="E183" s="45">
        <f>VLOOKUP(VALUE(LEFT(A183, 4)), 'Raw Annual EBITDA'!A:E, 5, FALSE) / 4
</f>
        <v>45990.25</v>
      </c>
      <c r="F183" s="45">
        <f>VLOOKUP(VALUE(LEFT(A183, 4)), 'Raw Annual EBITDA'!A:F, 6, FALSE) / 4</f>
        <v>82500</v>
      </c>
      <c r="G183" s="43"/>
      <c r="H183" s="45">
        <f>VLOOKUP(VALUE(LEFT(A71, 4)), 'Raw Annual EBITDA'!A:H, 8, FALSE) / 4</f>
        <v>28710</v>
      </c>
      <c r="I183" s="43"/>
      <c r="J183" s="45">
        <f>VLOOKUP(VALUE(LEFT(A71, 4)), 'Raw Annual EBITDA'!A:J, 10, FALSE) / 4</f>
        <v>-2427.5</v>
      </c>
      <c r="K183" s="43"/>
      <c r="L183" s="45">
        <f>VLOOKUP(VALUE(LEFT($A183, 4)), 'Raw Annual EBITDA'!$A:L, 12, FALSE) / 4</f>
        <v>68002.5</v>
      </c>
      <c r="M183" s="43"/>
      <c r="N183" s="43"/>
      <c r="O183" s="47">
        <f>VLOOKUP(VALUE(LEFT(A185, 4)), 'Raw Annual EBITDA'!A:O, 15, FALSE) / 4
</f>
        <v>2783</v>
      </c>
      <c r="P183" s="43"/>
      <c r="Q183" s="43"/>
      <c r="R183" s="45"/>
      <c r="S183" s="45">
        <f>VLOOKUP(VALUE(LEFT(A183, 4)), 'Raw Annual EBITDA'!A:S, 19, FALSE) / 4</f>
        <v>7241</v>
      </c>
      <c r="T183" s="43"/>
      <c r="U183" s="43"/>
      <c r="V183" s="45">
        <f>VLOOKUP(VALUE(LEFT($A183, 4)), 'Raw Annual EBITDA'!$A:V, 22, FALSE) / 4
</f>
        <v>20</v>
      </c>
      <c r="W183" s="43"/>
      <c r="X183" s="45">
        <f>VLOOKUP(VALUE(LEFT($A185, 4)), 'Raw Annual EBITDA'!$A:X, 24, FALSE) / 4
</f>
        <v>84414.25</v>
      </c>
      <c r="Y183" s="45"/>
      <c r="Z183" s="43"/>
      <c r="AA183" s="43"/>
      <c r="AB183" s="43"/>
      <c r="AC183" s="43"/>
      <c r="AD183" s="43"/>
    </row>
    <row r="184">
      <c r="A184" s="42" t="s">
        <v>96</v>
      </c>
      <c r="B184" s="43"/>
      <c r="C184" s="45">
        <f>VLOOKUP(VALUE(LEFT(A184, 4)), 'Raw Annual EBITDA'!A:C, 3, FALSE) / 4
</f>
        <v>632597.25</v>
      </c>
      <c r="D184" s="45">
        <f>VLOOKUP(VALUE(LEFT(A184, 4)), 'Raw Annual EBITDA'!A:D, 4, FALSE) / 4
</f>
        <v>198481.5</v>
      </c>
      <c r="E184" s="45">
        <f>VLOOKUP(VALUE(LEFT(A184, 4)), 'Raw Annual EBITDA'!A:E, 5, FALSE) / 4
</f>
        <v>45990.25</v>
      </c>
      <c r="F184" s="45">
        <f>VLOOKUP(VALUE(LEFT(A184, 4)), 'Raw Annual EBITDA'!A:F, 6, FALSE) / 4</f>
        <v>82500</v>
      </c>
      <c r="G184" s="43"/>
      <c r="H184" s="45">
        <f>VLOOKUP(VALUE(LEFT(A72, 4)), 'Raw Annual EBITDA'!A:H, 8, FALSE) / 4</f>
        <v>28710</v>
      </c>
      <c r="I184" s="43"/>
      <c r="J184" s="45">
        <f>VLOOKUP(VALUE(LEFT(A72, 4)), 'Raw Annual EBITDA'!A:J, 10, FALSE) / 4</f>
        <v>-2427.5</v>
      </c>
      <c r="K184" s="43"/>
      <c r="L184" s="45">
        <f>VLOOKUP(VALUE(LEFT($A184, 4)), 'Raw Annual EBITDA'!$A:L, 12, FALSE) / 4</f>
        <v>68002.5</v>
      </c>
      <c r="M184" s="43"/>
      <c r="N184" s="43"/>
      <c r="O184" s="47">
        <f>VLOOKUP(VALUE(LEFT(A186, 4)), 'Raw Annual EBITDA'!A:O, 15, FALSE) / 4
</f>
        <v>5629</v>
      </c>
      <c r="P184" s="43"/>
      <c r="Q184" s="43"/>
      <c r="R184" s="45"/>
      <c r="S184" s="45">
        <f>VLOOKUP(VALUE(LEFT(A184, 4)), 'Raw Annual EBITDA'!A:S, 19, FALSE) / 4</f>
        <v>7241</v>
      </c>
      <c r="T184" s="43"/>
      <c r="U184" s="43"/>
      <c r="V184" s="45">
        <f>VLOOKUP(VALUE(LEFT($A184, 4)), 'Raw Annual EBITDA'!$A:V, 22, FALSE) / 4
</f>
        <v>20</v>
      </c>
      <c r="W184" s="43"/>
      <c r="X184" s="45">
        <f>VLOOKUP(VALUE(LEFT($A186, 4)), 'Raw Annual EBITDA'!$A:X, 24, FALSE) / 4
</f>
        <v>87240.75</v>
      </c>
      <c r="Y184" s="45"/>
      <c r="Z184" s="43"/>
      <c r="AA184" s="43"/>
      <c r="AB184" s="43"/>
      <c r="AC184" s="43"/>
      <c r="AD184" s="43"/>
    </row>
    <row r="185">
      <c r="A185" s="42" t="s">
        <v>97</v>
      </c>
      <c r="B185" s="43"/>
      <c r="C185" s="45">
        <f>VLOOKUP(VALUE(LEFT(A185, 4)), 'Raw Annual EBITDA'!A:C, 3, FALSE) / 4
</f>
        <v>632597.25</v>
      </c>
      <c r="D185" s="45">
        <f>VLOOKUP(VALUE(LEFT(A185, 4)), 'Raw Annual EBITDA'!A:D, 4, FALSE) / 4
</f>
        <v>198481.5</v>
      </c>
      <c r="E185" s="45">
        <f>VLOOKUP(VALUE(LEFT(A185, 4)), 'Raw Annual EBITDA'!A:E, 5, FALSE) / 4
</f>
        <v>45990.25</v>
      </c>
      <c r="F185" s="45">
        <f>VLOOKUP(VALUE(LEFT(A185, 4)), 'Raw Annual EBITDA'!A:F, 6, FALSE) / 4</f>
        <v>82500</v>
      </c>
      <c r="G185" s="43"/>
      <c r="H185" s="45">
        <f>VLOOKUP(VALUE(LEFT(A73, 4)), 'Raw Annual EBITDA'!A:H, 8, FALSE) / 4</f>
        <v>28710</v>
      </c>
      <c r="I185" s="43"/>
      <c r="J185" s="45">
        <f>VLOOKUP(VALUE(LEFT(A73, 4)), 'Raw Annual EBITDA'!A:J, 10, FALSE) / 4</f>
        <v>-2427.5</v>
      </c>
      <c r="K185" s="43"/>
      <c r="L185" s="45">
        <f>VLOOKUP(VALUE(LEFT($A185, 4)), 'Raw Annual EBITDA'!$A:L, 12, FALSE) / 4</f>
        <v>68002.5</v>
      </c>
      <c r="M185" s="43"/>
      <c r="N185" s="43"/>
      <c r="O185" s="47">
        <f>VLOOKUP(VALUE(LEFT(A187, 4)), 'Raw Annual EBITDA'!A:O, 15, FALSE) / 4
</f>
        <v>5629</v>
      </c>
      <c r="P185" s="43"/>
      <c r="Q185" s="43"/>
      <c r="R185" s="45"/>
      <c r="S185" s="45">
        <f>VLOOKUP(VALUE(LEFT(A185, 4)), 'Raw Annual EBITDA'!A:S, 19, FALSE) / 4</f>
        <v>7241</v>
      </c>
      <c r="T185" s="43"/>
      <c r="U185" s="43"/>
      <c r="V185" s="45">
        <f>VLOOKUP(VALUE(LEFT($A185, 4)), 'Raw Annual EBITDA'!$A:V, 22, FALSE) / 4
</f>
        <v>20</v>
      </c>
      <c r="W185" s="43"/>
      <c r="X185" s="45">
        <f>VLOOKUP(VALUE(LEFT($A187, 4)), 'Raw Annual EBITDA'!$A:X, 24, FALSE) / 4
</f>
        <v>87240.75</v>
      </c>
      <c r="Y185" s="45"/>
      <c r="Z185" s="43"/>
      <c r="AA185" s="43"/>
      <c r="AB185" s="43"/>
      <c r="AC185" s="43"/>
      <c r="AD185" s="43"/>
    </row>
    <row r="186">
      <c r="A186" s="42" t="s">
        <v>98</v>
      </c>
      <c r="B186" s="43"/>
      <c r="C186" s="45">
        <f>VLOOKUP(VALUE(LEFT(A186, 4)), 'Raw Annual EBITDA'!A:C, 3, FALSE) / 4
</f>
        <v>820283</v>
      </c>
      <c r="D186" s="45">
        <f>VLOOKUP(VALUE(LEFT(A186, 4)), 'Raw Annual EBITDA'!A:D, 4, FALSE) / 4
</f>
        <v>232591.25</v>
      </c>
      <c r="E186" s="45">
        <f>VLOOKUP(VALUE(LEFT(A186, 4)), 'Raw Annual EBITDA'!A:E, 5, FALSE) / 4
</f>
        <v>1279.75</v>
      </c>
      <c r="F186" s="45">
        <f>VLOOKUP(VALUE(LEFT(A186, 4)), 'Raw Annual EBITDA'!A:F, 6, FALSE) / 4</f>
        <v>102250</v>
      </c>
      <c r="G186" s="45">
        <f>VLOOKUP(VALUE(LEFT(A186, 4)), 'Raw Annual EBITDA'!A:G, 7, FALSE) / 4</f>
        <v>-81.75</v>
      </c>
      <c r="H186" s="45">
        <f>VLOOKUP(VALUE(LEFT(A74, 4)), 'Raw Annual EBITDA'!A:H, 8, FALSE) / 4</f>
        <v>28710</v>
      </c>
      <c r="I186" s="43"/>
      <c r="J186" s="45">
        <f>VLOOKUP(VALUE(LEFT(A74, 4)), 'Raw Annual EBITDA'!A:J, 10, FALSE) / 4</f>
        <v>-2427.5</v>
      </c>
      <c r="K186" s="43"/>
      <c r="L186" s="45">
        <f>VLOOKUP(VALUE(LEFT($A186, 4)), 'Raw Annual EBITDA'!$A:L, 12, FALSE) / 4</f>
        <v>78234.5</v>
      </c>
      <c r="M186" s="43"/>
      <c r="N186" s="43"/>
      <c r="O186" s="47">
        <f>VLOOKUP(VALUE(LEFT(A188, 4)), 'Raw Annual EBITDA'!A:O, 15, FALSE) / 4
</f>
        <v>5629</v>
      </c>
      <c r="P186" s="43"/>
      <c r="Q186" s="43"/>
      <c r="R186" s="45"/>
      <c r="S186" s="45">
        <f>VLOOKUP(VALUE(LEFT(A186, 4)), 'Raw Annual EBITDA'!A:S, 19, FALSE) / 4</f>
        <v>7240.25</v>
      </c>
      <c r="T186" s="43"/>
      <c r="U186" s="43"/>
      <c r="V186" s="45">
        <f>VLOOKUP(VALUE(LEFT($A186, 4)), 'Raw Annual EBITDA'!$A:V, 22, FALSE) / 4
</f>
        <v>11140.25</v>
      </c>
      <c r="W186" s="43"/>
      <c r="X186" s="45">
        <f>VLOOKUP(VALUE(LEFT($A188, 4)), 'Raw Annual EBITDA'!$A:X, 24, FALSE) / 4
</f>
        <v>87240.75</v>
      </c>
      <c r="Y186" s="45">
        <f>VLOOKUP(VALUE(LEFT($A186, 4)), 'Raw Annual EBITDA'!$A:Y, 25, FALSE) / 4</f>
        <v>4917.6906</v>
      </c>
      <c r="Z186" s="45"/>
      <c r="AA186" s="45">
        <f>VLOOKUP(VALUE(LEFT($A186, 4)), 'Raw Annual EBITDA'!$A:AA, 27, FALSE) / 4</f>
        <v>90.75</v>
      </c>
      <c r="AB186" s="45"/>
      <c r="AC186" s="45"/>
      <c r="AD186" s="43"/>
    </row>
    <row r="187">
      <c r="A187" s="42" t="s">
        <v>99</v>
      </c>
      <c r="B187" s="43"/>
      <c r="C187" s="45">
        <f>VLOOKUP(VALUE(LEFT(A187, 4)), 'Raw Annual EBITDA'!A:C, 3, FALSE) / 4
</f>
        <v>820283</v>
      </c>
      <c r="D187" s="45">
        <f>VLOOKUP(VALUE(LEFT(A187, 4)), 'Raw Annual EBITDA'!A:D, 4, FALSE) / 4
</f>
        <v>232591.25</v>
      </c>
      <c r="E187" s="45">
        <f>VLOOKUP(VALUE(LEFT(A187, 4)), 'Raw Annual EBITDA'!A:E, 5, FALSE) / 4
</f>
        <v>1279.75</v>
      </c>
      <c r="F187" s="45">
        <f>VLOOKUP(VALUE(LEFT(A187, 4)), 'Raw Annual EBITDA'!A:F, 6, FALSE) / 4</f>
        <v>102250</v>
      </c>
      <c r="G187" s="45">
        <f>VLOOKUP(VALUE(LEFT(A187, 4)), 'Raw Annual EBITDA'!A:G, 7, FALSE) / 4</f>
        <v>-81.75</v>
      </c>
      <c r="H187" s="45">
        <v>28710.0</v>
      </c>
      <c r="I187" s="43"/>
      <c r="J187" s="45">
        <f>VLOOKUP(VALUE(LEFT(A75, 4)), 'Raw Annual EBITDA'!A:J, 10, FALSE) / 4</f>
        <v>-1621</v>
      </c>
      <c r="K187" s="43"/>
      <c r="L187" s="45">
        <f>VLOOKUP(VALUE(LEFT($A187, 4)), 'Raw Annual EBITDA'!$A:L, 12, FALSE) / 4</f>
        <v>78234.5</v>
      </c>
      <c r="M187" s="43"/>
      <c r="N187" s="43"/>
      <c r="O187" s="47">
        <f>VLOOKUP(VALUE(LEFT(A189, 4)), 'Raw Annual EBITDA'!A:O, 15, FALSE) / 4
</f>
        <v>5629</v>
      </c>
      <c r="P187" s="43"/>
      <c r="Q187" s="43"/>
      <c r="R187" s="45"/>
      <c r="S187" s="45">
        <f>VLOOKUP(VALUE(LEFT(A187, 4)), 'Raw Annual EBITDA'!A:S, 19, FALSE) / 4</f>
        <v>7240.25</v>
      </c>
      <c r="T187" s="43"/>
      <c r="U187" s="43"/>
      <c r="V187" s="45">
        <f>VLOOKUP(VALUE(LEFT($A187, 4)), 'Raw Annual EBITDA'!$A:V, 22, FALSE) / 4
</f>
        <v>11140.25</v>
      </c>
      <c r="W187" s="43"/>
      <c r="X187" s="45">
        <f>VLOOKUP(VALUE(LEFT($A189, 4)), 'Raw Annual EBITDA'!$A:X, 24, FALSE) / 4
</f>
        <v>87240.75</v>
      </c>
      <c r="Y187" s="45">
        <f>VLOOKUP(VALUE(LEFT($A187, 4)), 'Raw Annual EBITDA'!$A:Y, 25, FALSE) / 4</f>
        <v>4917.6906</v>
      </c>
      <c r="Z187" s="45"/>
      <c r="AA187" s="45">
        <f>VLOOKUP(VALUE(LEFT($A187, 4)), 'Raw Annual EBITDA'!$A:AA, 27, FALSE) / 4</f>
        <v>90.75</v>
      </c>
      <c r="AB187" s="45"/>
      <c r="AC187" s="45"/>
      <c r="AD187" s="43"/>
    </row>
    <row r="188">
      <c r="A188" s="42" t="s">
        <v>100</v>
      </c>
      <c r="B188" s="43"/>
      <c r="C188" s="45">
        <f>VLOOKUP(VALUE(LEFT(A188, 4)), 'Raw Annual EBITDA'!A:C, 3, FALSE) / 4
</f>
        <v>820283</v>
      </c>
      <c r="D188" s="45">
        <f>VLOOKUP(VALUE(LEFT(A188, 4)), 'Raw Annual EBITDA'!A:D, 4, FALSE) / 4
</f>
        <v>232591.25</v>
      </c>
      <c r="E188" s="45">
        <f>VLOOKUP(VALUE(LEFT(A188, 4)), 'Raw Annual EBITDA'!A:E, 5, FALSE) / 4
</f>
        <v>1279.75</v>
      </c>
      <c r="F188" s="45">
        <f>VLOOKUP(VALUE(LEFT(A188, 4)), 'Raw Annual EBITDA'!A:F, 6, FALSE) / 4</f>
        <v>102250</v>
      </c>
      <c r="G188" s="45">
        <f>VLOOKUP(VALUE(LEFT(A188, 4)), 'Raw Annual EBITDA'!A:G, 7, FALSE) / 4</f>
        <v>-81.75</v>
      </c>
      <c r="H188" s="45">
        <v>28710.0</v>
      </c>
      <c r="I188" s="43"/>
      <c r="J188" s="45">
        <f>VLOOKUP(VALUE(LEFT(A76, 4)), 'Raw Annual EBITDA'!A:J, 10, FALSE) / 4</f>
        <v>-1621</v>
      </c>
      <c r="K188" s="43"/>
      <c r="L188" s="45">
        <f>VLOOKUP(VALUE(LEFT($A188, 4)), 'Raw Annual EBITDA'!$A:L, 12, FALSE) / 4</f>
        <v>78234.5</v>
      </c>
      <c r="M188" s="43"/>
      <c r="N188" s="43"/>
      <c r="O188" s="47">
        <f>VLOOKUP(VALUE(LEFT(A190, 4)), 'Raw Annual EBITDA'!A:O, 15, FALSE) / 4
</f>
        <v>5655.75</v>
      </c>
      <c r="P188" s="43"/>
      <c r="Q188" s="43"/>
      <c r="R188" s="45"/>
      <c r="S188" s="45">
        <f>VLOOKUP(VALUE(LEFT(A188, 4)), 'Raw Annual EBITDA'!A:S, 19, FALSE) / 4</f>
        <v>7240.25</v>
      </c>
      <c r="T188" s="43"/>
      <c r="U188" s="43"/>
      <c r="V188" s="45">
        <f>VLOOKUP(VALUE(LEFT($A188, 4)), 'Raw Annual EBITDA'!$A:V, 22, FALSE) / 4
</f>
        <v>11140.25</v>
      </c>
      <c r="W188" s="43"/>
      <c r="X188" s="45">
        <f>VLOOKUP(VALUE(LEFT($A190, 4)), 'Raw Annual EBITDA'!$A:X, 24, FALSE) / 4
</f>
        <v>105865.25</v>
      </c>
      <c r="Y188" s="45">
        <f>VLOOKUP(VALUE(LEFT($A188, 4)), 'Raw Annual EBITDA'!$A:Y, 25, FALSE) / 4</f>
        <v>4917.6906</v>
      </c>
      <c r="Z188" s="45"/>
      <c r="AA188" s="45">
        <f>VLOOKUP(VALUE(LEFT($A188, 4)), 'Raw Annual EBITDA'!$A:AA, 27, FALSE) / 4</f>
        <v>90.75</v>
      </c>
      <c r="AB188" s="45"/>
      <c r="AC188" s="45"/>
      <c r="AD188" s="43"/>
    </row>
    <row r="189">
      <c r="A189" s="42" t="s">
        <v>101</v>
      </c>
      <c r="B189" s="43"/>
      <c r="C189" s="45">
        <f>VLOOKUP(VALUE(LEFT(A189, 4)), 'Raw Annual EBITDA'!A:C, 3, FALSE) / 4
</f>
        <v>820283</v>
      </c>
      <c r="D189" s="45">
        <f>VLOOKUP(VALUE(LEFT(A189, 4)), 'Raw Annual EBITDA'!A:D, 4, FALSE) / 4
</f>
        <v>232591.25</v>
      </c>
      <c r="E189" s="45">
        <f>VLOOKUP(VALUE(LEFT(A189, 4)), 'Raw Annual EBITDA'!A:E, 5, FALSE) / 4
</f>
        <v>1279.75</v>
      </c>
      <c r="F189" s="45">
        <f>VLOOKUP(VALUE(LEFT(A189, 4)), 'Raw Annual EBITDA'!A:F, 6, FALSE) / 4</f>
        <v>102250</v>
      </c>
      <c r="G189" s="45">
        <f>VLOOKUP(VALUE(LEFT(A189, 4)), 'Raw Annual EBITDA'!A:G, 7, FALSE) / 4</f>
        <v>-81.75</v>
      </c>
      <c r="H189" s="45">
        <v>24550.5</v>
      </c>
      <c r="I189" s="43"/>
      <c r="J189" s="45">
        <f>VLOOKUP(VALUE(LEFT(A77, 4)), 'Raw Annual EBITDA'!A:J, 10, FALSE) / 4</f>
        <v>-1621</v>
      </c>
      <c r="K189" s="43"/>
      <c r="L189" s="45">
        <f>VLOOKUP(VALUE(LEFT($A189, 4)), 'Raw Annual EBITDA'!$A:L, 12, FALSE) / 4</f>
        <v>78234.5</v>
      </c>
      <c r="M189" s="43"/>
      <c r="N189" s="43"/>
      <c r="O189" s="47">
        <f>VLOOKUP(VALUE(LEFT(A191, 4)), 'Raw Annual EBITDA'!A:O, 15, FALSE) / 4
</f>
        <v>5655.75</v>
      </c>
      <c r="P189" s="43"/>
      <c r="Q189" s="43"/>
      <c r="R189" s="45"/>
      <c r="S189" s="45">
        <f>VLOOKUP(VALUE(LEFT(A189, 4)), 'Raw Annual EBITDA'!A:S, 19, FALSE) / 4</f>
        <v>7240.25</v>
      </c>
      <c r="T189" s="43"/>
      <c r="U189" s="43"/>
      <c r="V189" s="45">
        <f>VLOOKUP(VALUE(LEFT($A189, 4)), 'Raw Annual EBITDA'!$A:V, 22, FALSE) / 4
</f>
        <v>11140.25</v>
      </c>
      <c r="W189" s="43"/>
      <c r="X189" s="45">
        <f>VLOOKUP(VALUE(LEFT($A191, 4)), 'Raw Annual EBITDA'!$A:X, 24, FALSE) / 4
</f>
        <v>105865.25</v>
      </c>
      <c r="Y189" s="45">
        <f>VLOOKUP(VALUE(LEFT($A189, 4)), 'Raw Annual EBITDA'!$A:Y, 25, FALSE) / 4</f>
        <v>4917.6906</v>
      </c>
      <c r="Z189" s="45"/>
      <c r="AA189" s="45">
        <f>VLOOKUP(VALUE(LEFT($A189, 4)), 'Raw Annual EBITDA'!$A:AA, 27, FALSE) / 4</f>
        <v>90.75</v>
      </c>
      <c r="AB189" s="45"/>
      <c r="AC189" s="45"/>
      <c r="AD189" s="43"/>
    </row>
    <row r="190">
      <c r="A190" s="42" t="s">
        <v>102</v>
      </c>
      <c r="B190" s="50">
        <f>VLOOKUP(VALUE(LEFT(A190, 4)), 'Raw Annual EBITDA'!A:B, 2, FALSE) / 4
</f>
        <v>-30924.25</v>
      </c>
      <c r="C190" s="45">
        <f>VLOOKUP(VALUE(LEFT(A190, 4)), 'Raw Annual EBITDA'!A:C, 3, FALSE) / 4
</f>
        <v>882850.25</v>
      </c>
      <c r="D190" s="45">
        <f>VLOOKUP(VALUE(LEFT(A190, 4)), 'Raw Annual EBITDA'!A:D, 4, FALSE) / 4
</f>
        <v>228548.75</v>
      </c>
      <c r="E190" s="45">
        <f>VLOOKUP(VALUE(LEFT(A190, 4)), 'Raw Annual EBITDA'!A:E, 5, FALSE) / 4
</f>
        <v>26852.75</v>
      </c>
      <c r="F190" s="45">
        <f>VLOOKUP(VALUE(LEFT(A190, 4)), 'Raw Annual EBITDA'!A:F, 6, FALSE) / 4</f>
        <v>81250</v>
      </c>
      <c r="G190" s="45">
        <f>VLOOKUP(VALUE(LEFT(A190, 4)), 'Raw Annual EBITDA'!A:G, 7, FALSE) / 4</f>
        <v>-4091.25</v>
      </c>
      <c r="H190" s="45">
        <v>24550.5</v>
      </c>
      <c r="I190" s="45">
        <f>VLOOKUP(VALUE(LEFT(A75, 4)), 'Raw Annual EBITDA'!A:I, 9, FALSE) / 4</f>
        <v>-9982</v>
      </c>
      <c r="J190" s="45">
        <f>VLOOKUP(VALUE(LEFT(A78, 4)), 'Raw Annual EBITDA'!A:J, 10, FALSE) / 4</f>
        <v>-1621</v>
      </c>
      <c r="K190" s="43"/>
      <c r="L190" s="45">
        <f>VLOOKUP(VALUE(LEFT($A190, 4)), 'Raw Annual EBITDA'!$A:L, 12, FALSE) / 4</f>
        <v>80319.5</v>
      </c>
      <c r="M190" s="43"/>
      <c r="N190" s="43"/>
      <c r="O190" s="47">
        <f>VLOOKUP(VALUE(LEFT(A192, 4)), 'Raw Annual EBITDA'!A:O, 15, FALSE) / 4
</f>
        <v>5655.75</v>
      </c>
      <c r="P190" s="43"/>
      <c r="Q190" s="43"/>
      <c r="R190" s="45"/>
      <c r="S190" s="45">
        <f>VLOOKUP(VALUE(LEFT(A190, 4)), 'Raw Annual EBITDA'!A:S, 19, FALSE) / 4</f>
        <v>-2974.25</v>
      </c>
      <c r="T190" s="43"/>
      <c r="U190" s="43"/>
      <c r="V190" s="45"/>
      <c r="W190" s="43"/>
      <c r="X190" s="45">
        <f>VLOOKUP(VALUE(LEFT($A192, 4)), 'Raw Annual EBITDA'!$A:X, 24, FALSE) / 4
</f>
        <v>105865.25</v>
      </c>
      <c r="Y190" s="45">
        <f>VLOOKUP(VALUE(LEFT($A190, 4)), 'Raw Annual EBITDA'!$A:Y, 25, FALSE) / 4</f>
        <v>4073.372625</v>
      </c>
      <c r="Z190" s="45">
        <f>VLOOKUP(VALUE(LEFT($A190, 4)), 'Raw Annual EBITDA'!$A:Z, 26, FALSE) / 4</f>
        <v>2145</v>
      </c>
      <c r="AA190" s="45">
        <f>VLOOKUP(VALUE(LEFT($A190, 4)), 'Raw Annual EBITDA'!$A:AA, 27, FALSE) / 4</f>
        <v>505.75</v>
      </c>
      <c r="AB190" s="45"/>
      <c r="AC190" s="45">
        <f>VLOOKUP(VALUE(LEFT($A190, 4)), 'Raw Annual EBITDA'!$A:AC, 29, FALSE) / 4</f>
        <v>-3801.55125</v>
      </c>
      <c r="AD190" s="43"/>
    </row>
    <row r="191">
      <c r="A191" s="42" t="s">
        <v>103</v>
      </c>
      <c r="B191" s="50">
        <f>VLOOKUP(VALUE(LEFT(A191, 4)), 'Raw Annual EBITDA'!A:B, 2, FALSE) / 4
</f>
        <v>-30924.25</v>
      </c>
      <c r="C191" s="45">
        <f>VLOOKUP(VALUE(LEFT(A191, 4)), 'Raw Annual EBITDA'!A:C, 3, FALSE) / 4
</f>
        <v>882850.25</v>
      </c>
      <c r="D191" s="45">
        <f>VLOOKUP(VALUE(LEFT(A191, 4)), 'Raw Annual EBITDA'!A:D, 4, FALSE) / 4
</f>
        <v>228548.75</v>
      </c>
      <c r="E191" s="45">
        <f>VLOOKUP(VALUE(LEFT(A191, 4)), 'Raw Annual EBITDA'!A:E, 5, FALSE) / 4
</f>
        <v>26852.75</v>
      </c>
      <c r="F191" s="45">
        <f>VLOOKUP(VALUE(LEFT(A191, 4)), 'Raw Annual EBITDA'!A:F, 6, FALSE) / 4</f>
        <v>81250</v>
      </c>
      <c r="G191" s="45">
        <f>VLOOKUP(VALUE(LEFT(A191, 4)), 'Raw Annual EBITDA'!A:G, 7, FALSE) / 4</f>
        <v>-4091.25</v>
      </c>
      <c r="H191" s="45">
        <f>VLOOKUP(VALUE(LEFT(A79, 4)), 'Raw Annual EBITDA'!A:H, 8, FALSE) / 4</f>
        <v>24550.5</v>
      </c>
      <c r="I191" s="45">
        <f>VLOOKUP(VALUE(LEFT(A76, 4)), 'Raw Annual EBITDA'!A:I, 9, FALSE) / 4</f>
        <v>-9982</v>
      </c>
      <c r="J191" s="45">
        <f>VLOOKUP(VALUE(LEFT(A79, 4)), 'Raw Annual EBITDA'!A:J, 10, FALSE) / 4</f>
        <v>-13881</v>
      </c>
      <c r="K191" s="43"/>
      <c r="L191" s="45">
        <f>VLOOKUP(VALUE(LEFT($A191, 4)), 'Raw Annual EBITDA'!$A:L, 12, FALSE) / 4</f>
        <v>80319.5</v>
      </c>
      <c r="M191" s="43"/>
      <c r="N191" s="43"/>
      <c r="O191" s="47">
        <f>VLOOKUP(VALUE(LEFT(A193, 4)), 'Raw Annual EBITDA'!A:O, 15, FALSE) / 4
</f>
        <v>5655.75</v>
      </c>
      <c r="P191" s="43"/>
      <c r="Q191" s="43"/>
      <c r="R191" s="45"/>
      <c r="S191" s="45">
        <f>VLOOKUP(VALUE(LEFT(A191, 4)), 'Raw Annual EBITDA'!A:S, 19, FALSE) / 4</f>
        <v>-2974.25</v>
      </c>
      <c r="T191" s="43"/>
      <c r="U191" s="43"/>
      <c r="V191" s="45"/>
      <c r="W191" s="43"/>
      <c r="X191" s="45">
        <f>VLOOKUP(VALUE(LEFT($A193, 4)), 'Raw Annual EBITDA'!$A:X, 24, FALSE) / 4
</f>
        <v>105865.25</v>
      </c>
      <c r="Y191" s="45">
        <f>VLOOKUP(VALUE(LEFT($A191, 4)), 'Raw Annual EBITDA'!$A:Y, 25, FALSE) / 4</f>
        <v>4073.372625</v>
      </c>
      <c r="Z191" s="45">
        <f>VLOOKUP(VALUE(LEFT($A191, 4)), 'Raw Annual EBITDA'!$A:Z, 26, FALSE) / 4</f>
        <v>2145</v>
      </c>
      <c r="AA191" s="45">
        <f>VLOOKUP(VALUE(LEFT($A191, 4)), 'Raw Annual EBITDA'!$A:AA, 27, FALSE) / 4</f>
        <v>505.75</v>
      </c>
      <c r="AB191" s="45"/>
      <c r="AC191" s="45">
        <f>VLOOKUP(VALUE(LEFT($A191, 4)), 'Raw Annual EBITDA'!$A:AC, 29, FALSE) / 4</f>
        <v>-3801.55125</v>
      </c>
      <c r="AD191" s="43"/>
    </row>
    <row r="192">
      <c r="A192" s="42" t="s">
        <v>104</v>
      </c>
      <c r="B192" s="50">
        <f>VLOOKUP(VALUE(LEFT(A192, 4)), 'Raw Annual EBITDA'!A:B, 2, FALSE) / 4
</f>
        <v>-30924.25</v>
      </c>
      <c r="C192" s="45">
        <f>VLOOKUP(VALUE(LEFT(A192, 4)), 'Raw Annual EBITDA'!A:C, 3, FALSE) / 4
</f>
        <v>882850.25</v>
      </c>
      <c r="D192" s="45">
        <f>VLOOKUP(VALUE(LEFT(A192, 4)), 'Raw Annual EBITDA'!A:D, 4, FALSE) / 4
</f>
        <v>228548.75</v>
      </c>
      <c r="E192" s="45">
        <f>VLOOKUP(VALUE(LEFT(A192, 4)), 'Raw Annual EBITDA'!A:E, 5, FALSE) / 4
</f>
        <v>26852.75</v>
      </c>
      <c r="F192" s="45">
        <f>VLOOKUP(VALUE(LEFT(A192, 4)), 'Raw Annual EBITDA'!A:F, 6, FALSE) / 4</f>
        <v>81250</v>
      </c>
      <c r="G192" s="45">
        <f>VLOOKUP(VALUE(LEFT(A192, 4)), 'Raw Annual EBITDA'!A:G, 7, FALSE) / 4</f>
        <v>-4091.25</v>
      </c>
      <c r="H192" s="45">
        <f>VLOOKUP(VALUE(LEFT(A80, 4)), 'Raw Annual EBITDA'!A:H, 8, FALSE) / 4</f>
        <v>24550.5</v>
      </c>
      <c r="I192" s="45">
        <f>VLOOKUP(VALUE(LEFT(A77, 4)), 'Raw Annual EBITDA'!A:I, 9, FALSE) / 4</f>
        <v>-9982</v>
      </c>
      <c r="J192" s="45">
        <f>VLOOKUP(VALUE(LEFT(A80, 4)), 'Raw Annual EBITDA'!A:J, 10, FALSE) / 4</f>
        <v>-13881</v>
      </c>
      <c r="K192" s="43"/>
      <c r="L192" s="45">
        <f>VLOOKUP(VALUE(LEFT($A192, 4)), 'Raw Annual EBITDA'!$A:L, 12, FALSE) / 4</f>
        <v>80319.5</v>
      </c>
      <c r="M192" s="43"/>
      <c r="N192" s="43"/>
      <c r="O192" s="47">
        <f>VLOOKUP(VALUE(LEFT(A194, 4)), 'Raw Annual EBITDA'!A:O, 15, FALSE) / 4
</f>
        <v>6822.5</v>
      </c>
      <c r="P192" s="43"/>
      <c r="Q192" s="43"/>
      <c r="R192" s="45"/>
      <c r="S192" s="45">
        <f>VLOOKUP(VALUE(LEFT(A192, 4)), 'Raw Annual EBITDA'!A:S, 19, FALSE) / 4</f>
        <v>-2974.25</v>
      </c>
      <c r="T192" s="43"/>
      <c r="U192" s="43"/>
      <c r="V192" s="45"/>
      <c r="W192" s="43"/>
      <c r="X192" s="45">
        <f>VLOOKUP(VALUE(LEFT($A194, 4)), 'Raw Annual EBITDA'!$A:X, 24, FALSE) / 4
</f>
        <v>78852.25</v>
      </c>
      <c r="Y192" s="45">
        <f>VLOOKUP(VALUE(LEFT($A192, 4)), 'Raw Annual EBITDA'!$A:Y, 25, FALSE) / 4</f>
        <v>4073.372625</v>
      </c>
      <c r="Z192" s="45">
        <f>VLOOKUP(VALUE(LEFT($A192, 4)), 'Raw Annual EBITDA'!$A:Z, 26, FALSE) / 4</f>
        <v>2145</v>
      </c>
      <c r="AA192" s="45">
        <f>VLOOKUP(VALUE(LEFT($A192, 4)), 'Raw Annual EBITDA'!$A:AA, 27, FALSE) / 4</f>
        <v>505.75</v>
      </c>
      <c r="AB192" s="45"/>
      <c r="AC192" s="45">
        <f>VLOOKUP(VALUE(LEFT($A192, 4)), 'Raw Annual EBITDA'!$A:AC, 29, FALSE) / 4</f>
        <v>-3801.55125</v>
      </c>
      <c r="AD192" s="43"/>
    </row>
    <row r="193">
      <c r="A193" s="42" t="s">
        <v>105</v>
      </c>
      <c r="B193" s="50">
        <f>VLOOKUP(VALUE(LEFT(A193, 4)), 'Raw Annual EBITDA'!A:B, 2, FALSE) / 4
</f>
        <v>-30924.25</v>
      </c>
      <c r="C193" s="45">
        <f>VLOOKUP(VALUE(LEFT(A193, 4)), 'Raw Annual EBITDA'!A:C, 3, FALSE) / 4
</f>
        <v>882850.25</v>
      </c>
      <c r="D193" s="45">
        <f>VLOOKUP(VALUE(LEFT(A193, 4)), 'Raw Annual EBITDA'!A:D, 4, FALSE) / 4
</f>
        <v>228548.75</v>
      </c>
      <c r="E193" s="45">
        <f>VLOOKUP(VALUE(LEFT(A193, 4)), 'Raw Annual EBITDA'!A:E, 5, FALSE) / 4
</f>
        <v>26852.75</v>
      </c>
      <c r="F193" s="45">
        <f>VLOOKUP(VALUE(LEFT(A193, 4)), 'Raw Annual EBITDA'!A:F, 6, FALSE) / 4</f>
        <v>81250</v>
      </c>
      <c r="G193" s="45">
        <f>VLOOKUP(VALUE(LEFT(A193, 4)), 'Raw Annual EBITDA'!A:G, 7, FALSE) / 4</f>
        <v>-4091.25</v>
      </c>
      <c r="H193" s="45">
        <f>VLOOKUP(VALUE(LEFT(A81, 4)), 'Raw Annual EBITDA'!A:H, 8, FALSE) / 4</f>
        <v>24550.5</v>
      </c>
      <c r="I193" s="45">
        <f>VLOOKUP(VALUE(LEFT(A78, 4)), 'Raw Annual EBITDA'!A:I, 9, FALSE) / 4</f>
        <v>-9982</v>
      </c>
      <c r="J193" s="45">
        <f>VLOOKUP(VALUE(LEFT(A81, 4)), 'Raw Annual EBITDA'!A:J, 10, FALSE) / 4</f>
        <v>-13881</v>
      </c>
      <c r="K193" s="43"/>
      <c r="L193" s="45">
        <f>VLOOKUP(VALUE(LEFT($A193, 4)), 'Raw Annual EBITDA'!$A:L, 12, FALSE) / 4</f>
        <v>80319.5</v>
      </c>
      <c r="M193" s="43"/>
      <c r="N193" s="43"/>
      <c r="O193" s="47">
        <f>VLOOKUP(VALUE(LEFT(A195, 4)), 'Raw Annual EBITDA'!A:O, 15, FALSE) / 4
</f>
        <v>6822.5</v>
      </c>
      <c r="P193" s="43"/>
      <c r="Q193" s="43"/>
      <c r="R193" s="45"/>
      <c r="S193" s="45">
        <f>VLOOKUP(VALUE(LEFT(A193, 4)), 'Raw Annual EBITDA'!A:S, 19, FALSE) / 4</f>
        <v>-2974.25</v>
      </c>
      <c r="T193" s="43"/>
      <c r="U193" s="43"/>
      <c r="V193" s="45"/>
      <c r="W193" s="43"/>
      <c r="X193" s="45">
        <f>VLOOKUP(VALUE(LEFT($A195, 4)), 'Raw Annual EBITDA'!$A:X, 24, FALSE) / 4
</f>
        <v>78852.25</v>
      </c>
      <c r="Y193" s="45">
        <f>VLOOKUP(VALUE(LEFT($A193, 4)), 'Raw Annual EBITDA'!$A:Y, 25, FALSE) / 4</f>
        <v>4073.372625</v>
      </c>
      <c r="Z193" s="45">
        <f>VLOOKUP(VALUE(LEFT($A193, 4)), 'Raw Annual EBITDA'!$A:Z, 26, FALSE) / 4</f>
        <v>2145</v>
      </c>
      <c r="AA193" s="45">
        <f>VLOOKUP(VALUE(LEFT($A193, 4)), 'Raw Annual EBITDA'!$A:AA, 27, FALSE) / 4</f>
        <v>505.75</v>
      </c>
      <c r="AB193" s="45"/>
      <c r="AC193" s="45">
        <f>VLOOKUP(VALUE(LEFT($A193, 4)), 'Raw Annual EBITDA'!$A:AC, 29, FALSE) / 4</f>
        <v>-3801.55125</v>
      </c>
      <c r="AD193" s="43"/>
    </row>
    <row r="194">
      <c r="A194" s="72" t="s">
        <v>106</v>
      </c>
      <c r="B194" s="73">
        <f>VLOOKUP(VALUE(LEFT(A194, 4)), 'Raw Annual EBITDA'!A:B, 2, FALSE) / 4
</f>
        <v>-33248.25</v>
      </c>
      <c r="C194" s="74">
        <f>IFERROR(__xludf.DUMMYFUNCTION("IMPORTRANGE(""https://docs.google.com/spreadsheets/d/1bozxp9FwhaCNzy-RRGPVPfVYTttO4PUGDdaFvbz-Ue0/edit?gid=1870218791#gid=1870218791"", ""Rev vs Mktg &amp; Mktg Mix!C"" &amp; ROW(C267))
"),460.493)</f>
        <v>460.493</v>
      </c>
      <c r="D194" s="74">
        <f>IFERROR(__xludf.DUMMYFUNCTION("IMPORTRANGE(""https://docs.google.com/spreadsheets/d/1bozxp9FwhaCNzy-RRGPVPfVYTttO4PUGDdaFvbz-Ue0/edit?gid=1870218791#gid=1870218791"", ""Rev vs Mktg &amp; Mktg Mix!D"" &amp; ROW(D267))
"),-171.0)</f>
        <v>-171</v>
      </c>
      <c r="E194" s="74">
        <f>IFERROR(__xludf.DUMMYFUNCTION("IMPORTRANGE(""https://docs.google.com/spreadsheets/d/1bozxp9FwhaCNzy-RRGPVPfVYTttO4PUGDdaFvbz-Ue0/edit?gid=1870218791#gid=1870218791"", ""Rev vs Mktg &amp; Mktg Mix!E"" &amp; ROW(E267))
"),-229.0)</f>
        <v>-229</v>
      </c>
      <c r="F194" s="74">
        <f>IFERROR(__xludf.DUMMYFUNCTION("IMPORTRANGE(""https://docs.google.com/spreadsheets/d/1bozxp9FwhaCNzy-RRGPVPfVYTttO4PUGDdaFvbz-Ue0/edit?gid=1870218791#gid=1870218791"", ""Rev vs Mktg &amp; Mktg Mix!F"" &amp; ROW(F267))
"),38.0)</f>
        <v>38</v>
      </c>
      <c r="G194" s="75">
        <f>IFERROR(__xludf.DUMMYFUNCTION("IMPORTRANGE(""https://docs.google.com/spreadsheets/d/1bozxp9FwhaCNzy-RRGPVPfVYTttO4PUGDdaFvbz-Ue0/edit?gid=1870218791#gid=1870218791"", ""Rev vs Mktg &amp; Mktg Mix!G"" &amp; ROW(G267))
"),0.277)</f>
        <v>0.277</v>
      </c>
      <c r="H194" s="76">
        <f>VLOOKUP(VALUE(LEFT(A82, 4)), 'Raw Annual EBITDA'!A:H, 8, FALSE) / 4</f>
        <v>24550.5</v>
      </c>
      <c r="I194" s="75">
        <f>IFERROR(__xludf.DUMMYFUNCTION("IMPORTRANGE(""https://docs.google.com/spreadsheets/d/1bozxp9FwhaCNzy-RRGPVPfVYTttO4PUGDdaFvbz-Ue0/edit?gid=1870218791#gid=1870218791"", ""Rev vs Mktg &amp; Mktg Mix!i"" &amp; ROW(I267))
"),1.911)</f>
        <v>1.911</v>
      </c>
      <c r="J194" s="75">
        <f>IFERROR(__xludf.DUMMYFUNCTION("IMPORTRANGE(""https://docs.google.com/spreadsheets/d/1bozxp9FwhaCNzy-RRGPVPfVYTttO4PUGDdaFvbz-Ue0/edit?gid=1870218791#gid=1870218791"", ""Rev vs Mktg &amp; Mktg Mix!J"" &amp; ROW(J267))
"),-49.84)</f>
        <v>-49.84</v>
      </c>
      <c r="K194" s="77"/>
      <c r="L194" s="75">
        <f>IFERROR(__xludf.DUMMYFUNCTION("IMPORTRANGE(""https://docs.google.com/spreadsheets/d/1bozxp9FwhaCNzy-RRGPVPfVYTttO4PUGDdaFvbz-Ue0/edit?gid=1870218791#gid=1870218791"", ""Rev vs Mktg &amp; Mktg Mix!L"" &amp; ROW(N267))
"),53.4653578011)</f>
        <v>53.4653578</v>
      </c>
      <c r="M194" s="78"/>
      <c r="N194" s="75">
        <f>IFERROR(__xludf.DUMMYFUNCTION("IMPORTRANGE(""https://docs.google.com/spreadsheets/d/1bozxp9FwhaCNzy-RRGPVPfVYTttO4PUGDdaFvbz-Ue0/edit?gid=1870218791#gid=1870218791"", ""Rev vs Mktg &amp; Mktg Mix!N"" &amp; ROW(N267))
"),-2.2352)</f>
        <v>-2.2352</v>
      </c>
      <c r="O194" s="79">
        <f>VLOOKUP(VALUE(LEFT(A196, 4)), 'Raw Annual EBITDA'!A:O, 15, FALSE) / 4
</f>
        <v>6822.5</v>
      </c>
      <c r="P194" s="78"/>
      <c r="Q194" s="78"/>
      <c r="R194" s="79"/>
      <c r="S194" s="45">
        <f>VLOOKUP(VALUE(LEFT(A194, 4)), 'Raw Annual EBITDA'!A:S, 19, FALSE) / 4</f>
        <v>6200.5</v>
      </c>
      <c r="T194" s="78"/>
      <c r="U194" s="78"/>
      <c r="V194" s="79"/>
      <c r="W194" s="78"/>
      <c r="X194" s="45">
        <f>VLOOKUP(VALUE(LEFT($A196, 4)), 'Raw Annual EBITDA'!$A:X, 24, FALSE) / 4
</f>
        <v>78852.25</v>
      </c>
      <c r="Y194" s="45">
        <f>VLOOKUP(VALUE(LEFT($A194, 4)), 'Raw Annual EBITDA'!$A:Y, 25, FALSE) / 4</f>
        <v>5219.1235</v>
      </c>
      <c r="Z194" s="45">
        <f>VLOOKUP(VALUE(LEFT($A194, 4)), 'Raw Annual EBITDA'!$A:Z, 26, FALSE) / 4</f>
        <v>3178.75</v>
      </c>
      <c r="AA194" s="45">
        <f>VLOOKUP(VALUE(LEFT($A194, 4)), 'Raw Annual EBITDA'!$A:AA, 27, FALSE) / 4</f>
        <v>1563.5</v>
      </c>
      <c r="AB194" s="79"/>
      <c r="AC194" s="45">
        <f>VLOOKUP(VALUE(LEFT($A194, 4)), 'Raw Annual EBITDA'!$A:AC, 29, FALSE) / 4</f>
        <v>-11841.07825</v>
      </c>
      <c r="AD194" s="78"/>
    </row>
    <row r="195">
      <c r="A195" s="72" t="s">
        <v>107</v>
      </c>
      <c r="B195" s="73">
        <f>VLOOKUP(VALUE(LEFT(A195, 4)), 'Raw Annual EBITDA'!A:B, 2, FALSE) / 4
</f>
        <v>-33248.25</v>
      </c>
      <c r="C195" s="80">
        <f>IFERROR(__xludf.DUMMYFUNCTION("IMPORTRANGE(""https://docs.google.com/spreadsheets/d/1bozxp9FwhaCNzy-RRGPVPfVYTttO4PUGDdaFvbz-Ue0/edit?gid=1870218791#gid=1870218791"", ""Rev vs Mktg &amp; Mktg Mix!C"" &amp; ROW(C268))
"),692.548)</f>
        <v>692.548</v>
      </c>
      <c r="D195" s="80">
        <f>IFERROR(__xludf.DUMMYFUNCTION("IMPORTRANGE(""https://docs.google.com/spreadsheets/d/1bozxp9FwhaCNzy-RRGPVPfVYTttO4PUGDdaFvbz-Ue0/edit?gid=1870218791#gid=1870218791"", ""Rev vs Mktg &amp; Mktg Mix!D"" &amp; ROW(D268))
"),-12.195)</f>
        <v>-12.195</v>
      </c>
      <c r="E195" s="80">
        <f>IFERROR(__xludf.DUMMYFUNCTION("IMPORTRANGE(""https://docs.google.com/spreadsheets/d/1bozxp9FwhaCNzy-RRGPVPfVYTttO4PUGDdaFvbz-Ue0/edit?gid=1870218791#gid=1870218791"", ""Rev vs Mktg &amp; Mktg Mix!E"" &amp; ROW(E268))
"),-66.0)</f>
        <v>-66</v>
      </c>
      <c r="F195" s="80">
        <f>IFERROR(__xludf.DUMMYFUNCTION("IMPORTRANGE(""https://docs.google.com/spreadsheets/d/1bozxp9FwhaCNzy-RRGPVPfVYTttO4PUGDdaFvbz-Ue0/edit?gid=1870218791#gid=1870218791"", ""Rev vs Mktg &amp; Mktg Mix!F"" &amp; ROW(F268))
"),45.0)</f>
        <v>45</v>
      </c>
      <c r="G195" s="81">
        <f>IFERROR(__xludf.DUMMYFUNCTION("IMPORTRANGE(""https://docs.google.com/spreadsheets/d/1bozxp9FwhaCNzy-RRGPVPfVYTttO4PUGDdaFvbz-Ue0/edit?gid=1870218791#gid=1870218791"", ""Rev vs Mktg &amp; Mktg Mix!G"" &amp; ROW(G268))
"),-50.0)</f>
        <v>-50</v>
      </c>
      <c r="H195" s="79">
        <f>VLOOKUP(VALUE(LEFT(A83, 4)), 'Raw Annual EBITDA'!A:H, 8, FALSE) / 4</f>
        <v>26741.5</v>
      </c>
      <c r="I195" s="81">
        <f>IFERROR(__xludf.DUMMYFUNCTION("IMPORTRANGE(""https://docs.google.com/spreadsheets/d/1bozxp9FwhaCNzy-RRGPVPfVYTttO4PUGDdaFvbz-Ue0/edit?gid=1870218791#gid=1870218791"", ""Rev vs Mktg &amp; Mktg Mix!i"" &amp; ROW(I268))
"),2.357)</f>
        <v>2.357</v>
      </c>
      <c r="J195" s="81">
        <f>IFERROR(__xludf.DUMMYFUNCTION("IMPORTRANGE(""https://docs.google.com/spreadsheets/d/1bozxp9FwhaCNzy-RRGPVPfVYTttO4PUGDdaFvbz-Ue0/edit?gid=1870218791#gid=1870218791"", ""Rev vs Mktg &amp; Mktg Mix!J"" &amp; ROW(J268))
"),-14.3)</f>
        <v>-14.3</v>
      </c>
      <c r="K195" s="78"/>
      <c r="L195" s="81">
        <f>IFERROR(__xludf.DUMMYFUNCTION("IMPORTRANGE(""https://docs.google.com/spreadsheets/d/1bozxp9FwhaCNzy-RRGPVPfVYTttO4PUGDdaFvbz-Ue0/edit?gid=1870218791#gid=1870218791"", ""Rev vs Mktg &amp; Mktg Mix!L"" &amp; ROW(N268))
"),82.6710933951)</f>
        <v>82.6710934</v>
      </c>
      <c r="M195" s="78"/>
      <c r="N195" s="81">
        <f>IFERROR(__xludf.DUMMYFUNCTION("IMPORTRANGE(""https://docs.google.com/spreadsheets/d/1bozxp9FwhaCNzy-RRGPVPfVYTttO4PUGDdaFvbz-Ue0/edit?gid=1870218791#gid=1870218791"", ""Rev vs Mktg &amp; Mktg Mix!N"" &amp; ROW(N268))
"),-1.2297)</f>
        <v>-1.2297</v>
      </c>
      <c r="O195" s="79">
        <f>VLOOKUP(VALUE(LEFT(A197, 4)), 'Raw Annual EBITDA'!A:O, 15, FALSE) / 4
</f>
        <v>6822.5</v>
      </c>
      <c r="P195" s="78"/>
      <c r="Q195" s="78"/>
      <c r="R195" s="79"/>
      <c r="S195" s="45">
        <f>VLOOKUP(VALUE(LEFT(A195, 4)), 'Raw Annual EBITDA'!A:S, 19, FALSE) / 4</f>
        <v>6200.5</v>
      </c>
      <c r="T195" s="45">
        <f>VLOOKUP(VALUE(LEFT(A198, 4)), 'Raw Annual EBITDA'!A:T, 20, FALSE) / 4</f>
        <v>883.75</v>
      </c>
      <c r="U195" s="78"/>
      <c r="V195" s="79"/>
      <c r="W195" s="78"/>
      <c r="X195" s="45">
        <f>VLOOKUP(VALUE(LEFT($A197, 4)), 'Raw Annual EBITDA'!$A:X, 24, FALSE) / 4
</f>
        <v>78852.25</v>
      </c>
      <c r="Y195" s="45">
        <f>VLOOKUP(VALUE(LEFT($A195, 4)), 'Raw Annual EBITDA'!$A:Y, 25, FALSE) / 4</f>
        <v>5219.1235</v>
      </c>
      <c r="Z195" s="45">
        <f>VLOOKUP(VALUE(LEFT($A195, 4)), 'Raw Annual EBITDA'!$A:Z, 26, FALSE) / 4</f>
        <v>3178.75</v>
      </c>
      <c r="AA195" s="45">
        <f>VLOOKUP(VALUE(LEFT($A195, 4)), 'Raw Annual EBITDA'!$A:AA, 27, FALSE) / 4</f>
        <v>1563.5</v>
      </c>
      <c r="AB195" s="79"/>
      <c r="AC195" s="45">
        <f>VLOOKUP(VALUE(LEFT($A195, 4)), 'Raw Annual EBITDA'!$A:AC, 29, FALSE) / 4</f>
        <v>-11841.07825</v>
      </c>
      <c r="AD195" s="78"/>
    </row>
    <row r="196">
      <c r="A196" s="42" t="s">
        <v>108</v>
      </c>
      <c r="B196" s="50">
        <f>VLOOKUP(VALUE(LEFT(A196, 4)), 'Raw Annual EBITDA'!A:B, 2, FALSE) / 4
</f>
        <v>-33248.25</v>
      </c>
      <c r="C196" s="80">
        <f>IFERROR(__xludf.DUMMYFUNCTION("IMPORTRANGE(""https://docs.google.com/spreadsheets/d/1bozxp9FwhaCNzy-RRGPVPfVYTttO4PUGDdaFvbz-Ue0/edit?gid=1870218791#gid=1870218791"", ""Rev vs Mktg &amp; Mktg Mix!C"" &amp; ROW(C269))
"),797.534)</f>
        <v>797.534</v>
      </c>
      <c r="D196" s="80">
        <f>IFERROR(__xludf.DUMMYFUNCTION("IMPORTRANGE(""https://docs.google.com/spreadsheets/d/1bozxp9FwhaCNzy-RRGPVPfVYTttO4PUGDdaFvbz-Ue0/edit?gid=1870218791#gid=1870218791"", ""Rev vs Mktg &amp; Mktg Mix!D"" &amp; ROW(D269))
"),339.555)</f>
        <v>339.555</v>
      </c>
      <c r="E196" s="80">
        <f>IFERROR(__xludf.DUMMYFUNCTION("IMPORTRANGE(""https://docs.google.com/spreadsheets/d/1bozxp9FwhaCNzy-RRGPVPfVYTttO4PUGDdaFvbz-Ue0/edit?gid=1870218791#gid=1870218791"", ""Rev vs Mktg &amp; Mktg Mix!E"" &amp; ROW(E269))
"),49.0)</f>
        <v>49</v>
      </c>
      <c r="F196" s="80">
        <f>IFERROR(__xludf.DUMMYFUNCTION("IMPORTRANGE(""https://docs.google.com/spreadsheets/d/1bozxp9FwhaCNzy-RRGPVPfVYTttO4PUGDdaFvbz-Ue0/edit?gid=1870218791#gid=1870218791"", ""Rev vs Mktg &amp; Mktg Mix!F"" &amp; ROW(F269))
"),63.0)</f>
        <v>63</v>
      </c>
      <c r="G196" s="81">
        <f>IFERROR(__xludf.DUMMYFUNCTION("IMPORTRANGE(""https://docs.google.com/spreadsheets/d/1bozxp9FwhaCNzy-RRGPVPfVYTttO4PUGDdaFvbz-Ue0/edit?gid=1870218791#gid=1870218791"", ""Rev vs Mktg &amp; Mktg Mix!G"" &amp; ROW(G269))
"),-0.296)</f>
        <v>-0.296</v>
      </c>
      <c r="H196" s="45">
        <f>VLOOKUP(VALUE(LEFT(A84, 4)), 'Raw Annual EBITDA'!A:H, 8, FALSE) / 4</f>
        <v>26741.5</v>
      </c>
      <c r="I196" s="81">
        <f>IFERROR(__xludf.DUMMYFUNCTION("IMPORTRANGE(""https://docs.google.com/spreadsheets/d/1bozxp9FwhaCNzy-RRGPVPfVYTttO4PUGDdaFvbz-Ue0/edit?gid=1870218791#gid=1870218791"", ""Rev vs Mktg &amp; Mktg Mix!i"" &amp; ROW(I269))
"),18.42)</f>
        <v>18.42</v>
      </c>
      <c r="J196" s="81">
        <f>IFERROR(__xludf.DUMMYFUNCTION("IMPORTRANGE(""https://docs.google.com/spreadsheets/d/1bozxp9FwhaCNzy-RRGPVPfVYTttO4PUGDdaFvbz-Ue0/edit?gid=1870218791#gid=1870218791"", ""Rev vs Mktg &amp; Mktg Mix!J"" &amp; ROW(J269))
"),-39.4)</f>
        <v>-39.4</v>
      </c>
      <c r="K196" s="43"/>
      <c r="L196" s="81">
        <f>IFERROR(__xludf.DUMMYFUNCTION("IMPORTRANGE(""https://docs.google.com/spreadsheets/d/1bozxp9FwhaCNzy-RRGPVPfVYTttO4PUGDdaFvbz-Ue0/edit?gid=1870218791#gid=1870218791"", ""Rev vs Mktg &amp; Mktg Mix!L"" &amp; ROW(N269))
"),52.3712031822)</f>
        <v>52.37120318</v>
      </c>
      <c r="M196" s="43"/>
      <c r="N196" s="81">
        <f>IFERROR(__xludf.DUMMYFUNCTION("IMPORTRANGE(""https://docs.google.com/spreadsheets/d/1bozxp9FwhaCNzy-RRGPVPfVYTttO4PUGDdaFvbz-Ue0/edit?gid=1870218791#gid=1870218791"", ""Rev vs Mktg &amp; Mktg Mix!N"" &amp; ROW(N269))
"),-1.034)</f>
        <v>-1.034</v>
      </c>
      <c r="O196" s="47">
        <f>VLOOKUP(VALUE(LEFT(A198, 4)), 'Raw Annual EBITDA'!A:O, 15, FALSE) / 4
</f>
        <v>8228</v>
      </c>
      <c r="P196" s="43"/>
      <c r="Q196" s="43"/>
      <c r="R196" s="45"/>
      <c r="S196" s="45">
        <f>VLOOKUP(VALUE(LEFT(A196, 4)), 'Raw Annual EBITDA'!A:S, 19, FALSE) / 4</f>
        <v>6200.5</v>
      </c>
      <c r="T196" s="45">
        <f>VLOOKUP(VALUE(LEFT(A199, 4)), 'Raw Annual EBITDA'!A:T, 20, FALSE) / 4</f>
        <v>883.75</v>
      </c>
      <c r="U196" s="43"/>
      <c r="V196" s="45"/>
      <c r="W196" s="43"/>
      <c r="X196" s="45">
        <f>VLOOKUP(VALUE(LEFT($A198, 4)), 'Raw Annual EBITDA'!$A:X, 24, FALSE) / 4
</f>
        <v>79063.75</v>
      </c>
      <c r="Y196" s="45">
        <f>VLOOKUP(VALUE(LEFT($A196, 4)), 'Raw Annual EBITDA'!$A:Y, 25, FALSE) / 4</f>
        <v>5219.1235</v>
      </c>
      <c r="Z196" s="45">
        <f>VLOOKUP(VALUE(LEFT($A196, 4)), 'Raw Annual EBITDA'!$A:Z, 26, FALSE) / 4</f>
        <v>3178.75</v>
      </c>
      <c r="AA196" s="45">
        <f>VLOOKUP(VALUE(LEFT($A196, 4)), 'Raw Annual EBITDA'!$A:AA, 27, FALSE) / 4</f>
        <v>1563.5</v>
      </c>
      <c r="AB196" s="45"/>
      <c r="AC196" s="45">
        <f>VLOOKUP(VALUE(LEFT($A196, 4)), 'Raw Annual EBITDA'!$A:AC, 29, FALSE) / 4</f>
        <v>-11841.07825</v>
      </c>
      <c r="AD196" s="43"/>
    </row>
    <row r="197">
      <c r="A197" s="42" t="s">
        <v>109</v>
      </c>
      <c r="B197" s="50">
        <f>VLOOKUP(VALUE(LEFT(A197, 4)), 'Raw Annual EBITDA'!A:B, 2, FALSE) / 4
</f>
        <v>-33248.25</v>
      </c>
      <c r="C197" s="80">
        <f>IFERROR(__xludf.DUMMYFUNCTION("IMPORTRANGE(""https://docs.google.com/spreadsheets/d/1bozxp9FwhaCNzy-RRGPVPfVYTttO4PUGDdaFvbz-Ue0/edit?gid=1870218791#gid=1870218791"", ""Rev vs Mktg &amp; Mktg Mix!C"" &amp; ROW(C270))
"),763.0)</f>
        <v>763</v>
      </c>
      <c r="D197" s="80">
        <f>IFERROR(__xludf.DUMMYFUNCTION("IMPORTRANGE(""https://docs.google.com/spreadsheets/d/1bozxp9FwhaCNzy-RRGPVPfVYTttO4PUGDdaFvbz-Ue0/edit?gid=1870218791#gid=1870218791"", ""Rev vs Mktg &amp; Mktg Mix!D"" &amp; ROW(D270))
"),115.0)</f>
        <v>115</v>
      </c>
      <c r="E197" s="80">
        <f>IFERROR(__xludf.DUMMYFUNCTION("IMPORTRANGE(""https://docs.google.com/spreadsheets/d/1bozxp9FwhaCNzy-RRGPVPfVYTttO4PUGDdaFvbz-Ue0/edit?gid=1870218791#gid=1870218791"", ""Rev vs Mktg &amp; Mktg Mix!E"" &amp; ROW(E270))
"),-25.0)</f>
        <v>-25</v>
      </c>
      <c r="F197" s="80">
        <f>IFERROR(__xludf.DUMMYFUNCTION("IMPORTRANGE(""https://docs.google.com/spreadsheets/d/1bozxp9FwhaCNzy-RRGPVPfVYTttO4PUGDdaFvbz-Ue0/edit?gid=1870218791#gid=1870218791"", ""Rev vs Mktg &amp; Mktg Mix!F"" &amp; ROW(F270))
"),4.0)</f>
        <v>4</v>
      </c>
      <c r="G197" s="81">
        <f>IFERROR(__xludf.DUMMYFUNCTION("IMPORTRANGE(""https://docs.google.com/spreadsheets/d/1bozxp9FwhaCNzy-RRGPVPfVYTttO4PUGDdaFvbz-Ue0/edit?gid=1870218791#gid=1870218791"", ""Rev vs Mktg &amp; Mktg Mix!G"" &amp; ROW(G270))
"),5.2)</f>
        <v>5.2</v>
      </c>
      <c r="H197" s="45">
        <f>VLOOKUP(VALUE(LEFT(A85, 4)), 'Raw Annual EBITDA'!A:H, 8, FALSE) / 4</f>
        <v>26741.5</v>
      </c>
      <c r="I197" s="81">
        <f>IFERROR(__xludf.DUMMYFUNCTION("IMPORTRANGE(""https://docs.google.com/spreadsheets/d/1bozxp9FwhaCNzy-RRGPVPfVYTttO4PUGDdaFvbz-Ue0/edit?gid=1870218791#gid=1870218791"", ""Rev vs Mktg &amp; Mktg Mix!i"" &amp; ROW(I270))
"),5.6)</f>
        <v>5.6</v>
      </c>
      <c r="J197" s="81">
        <f>IFERROR(__xludf.DUMMYFUNCTION("IMPORTRANGE(""https://docs.google.com/spreadsheets/d/1bozxp9FwhaCNzy-RRGPVPfVYTttO4PUGDdaFvbz-Ue0/edit?gid=1870218791#gid=1870218791"", ""Rev vs Mktg &amp; Mktg Mix!J"" &amp; ROW(J270))
"),16.608)</f>
        <v>16.608</v>
      </c>
      <c r="K197" s="43"/>
      <c r="L197" s="81">
        <f>IFERROR(__xludf.DUMMYFUNCTION("IMPORTRANGE(""https://docs.google.com/spreadsheets/d/1bozxp9FwhaCNzy-RRGPVPfVYTttO4PUGDdaFvbz-Ue0/edit?gid=1870218791#gid=1870218791"", ""Rev vs Mktg &amp; Mktg Mix!L"" &amp; ROW(N270))
"),37.22116033020001)</f>
        <v>37.22116033</v>
      </c>
      <c r="M197" s="43"/>
      <c r="N197" s="81">
        <f>IFERROR(__xludf.DUMMYFUNCTION("IMPORTRANGE(""https://docs.google.com/spreadsheets/d/1bozxp9FwhaCNzy-RRGPVPfVYTttO4PUGDdaFvbz-Ue0/edit?gid=1870218791#gid=1870218791"", ""Rev vs Mktg &amp; Mktg Mix!N"" &amp; ROW(N270))
"),-1.0318)</f>
        <v>-1.0318</v>
      </c>
      <c r="O197" s="47">
        <f>VLOOKUP(VALUE(LEFT(A199, 4)), 'Raw Annual EBITDA'!A:O, 15, FALSE) / 4
</f>
        <v>8228</v>
      </c>
      <c r="P197" s="43"/>
      <c r="Q197" s="43"/>
      <c r="R197" s="45"/>
      <c r="S197" s="45">
        <f>VLOOKUP(VALUE(LEFT(A197, 4)), 'Raw Annual EBITDA'!A:S, 19, FALSE) / 4</f>
        <v>6200.5</v>
      </c>
      <c r="T197" s="45">
        <f>VLOOKUP(VALUE(LEFT(A200, 4)), 'Raw Annual EBITDA'!A:T, 20, FALSE) / 4</f>
        <v>883.75</v>
      </c>
      <c r="U197" s="43"/>
      <c r="V197" s="45"/>
      <c r="W197" s="43"/>
      <c r="X197" s="45">
        <f>VLOOKUP(VALUE(LEFT($A199, 4)), 'Raw Annual EBITDA'!$A:X, 24, FALSE) / 4
</f>
        <v>79063.75</v>
      </c>
      <c r="Y197" s="45">
        <f>VLOOKUP(VALUE(LEFT($A197, 4)), 'Raw Annual EBITDA'!$A:Y, 25, FALSE) / 4</f>
        <v>5219.1235</v>
      </c>
      <c r="Z197" s="45">
        <f>VLOOKUP(VALUE(LEFT($A197, 4)), 'Raw Annual EBITDA'!$A:Z, 26, FALSE) / 4</f>
        <v>3178.75</v>
      </c>
      <c r="AA197" s="45">
        <f>VLOOKUP(VALUE(LEFT($A197, 4)), 'Raw Annual EBITDA'!$A:AA, 27, FALSE) / 4</f>
        <v>1563.5</v>
      </c>
      <c r="AB197" s="45"/>
      <c r="AC197" s="45">
        <f>VLOOKUP(VALUE(LEFT($A197, 4)), 'Raw Annual EBITDA'!$A:AC, 29, FALSE) / 4</f>
        <v>-11841.07825</v>
      </c>
      <c r="AD197" s="43"/>
    </row>
    <row r="198">
      <c r="A198" s="42" t="s">
        <v>110</v>
      </c>
      <c r="B198" s="45">
        <f>VLOOKUP(VALUE(LEFT(A198, 4)), 'Raw Annual EBITDA'!A:B, 2, FALSE) / 4
</f>
        <v>-505</v>
      </c>
      <c r="C198" s="80">
        <f>IFERROR(__xludf.DUMMYFUNCTION("IMPORTRANGE(""https://docs.google.com/spreadsheets/d/1bozxp9FwhaCNzy-RRGPVPfVYTttO4PUGDdaFvbz-Ue0/edit?gid=1870218791#gid=1870218791"", ""Rev vs Mktg &amp; Mktg Mix!C"" &amp; ROW(C271))
"),527.61)</f>
        <v>527.61</v>
      </c>
      <c r="D198" s="80">
        <f>IFERROR(__xludf.DUMMYFUNCTION("IMPORTRANGE(""https://docs.google.com/spreadsheets/d/1bozxp9FwhaCNzy-RRGPVPfVYTttO4PUGDdaFvbz-Ue0/edit?gid=1870218791#gid=1870218791"", ""Rev vs Mktg &amp; Mktg Mix!D"" &amp; ROW(D271))
"),-131.0)</f>
        <v>-131</v>
      </c>
      <c r="E198" s="80">
        <f>IFERROR(__xludf.DUMMYFUNCTION("IMPORTRANGE(""https://docs.google.com/spreadsheets/d/1bozxp9FwhaCNzy-RRGPVPfVYTttO4PUGDdaFvbz-Ue0/edit?gid=1870218791#gid=1870218791"", ""Rev vs Mktg &amp; Mktg Mix!E"" &amp; ROW(E271))
"),28.0)</f>
        <v>28</v>
      </c>
      <c r="F198" s="80">
        <f>IFERROR(__xludf.DUMMYFUNCTION("IMPORTRANGE(""https://docs.google.com/spreadsheets/d/1bozxp9FwhaCNzy-RRGPVPfVYTttO4PUGDdaFvbz-Ue0/edit?gid=1870218791#gid=1870218791"", ""Rev vs Mktg &amp; Mktg Mix!F"" &amp; ROW(F271))
"),25.0)</f>
        <v>25</v>
      </c>
      <c r="G198" s="81">
        <f>IFERROR(__xludf.DUMMYFUNCTION("IMPORTRANGE(""https://docs.google.com/spreadsheets/d/1bozxp9FwhaCNzy-RRGPVPfVYTttO4PUGDdaFvbz-Ue0/edit?gid=1870218791#gid=1870218791"", ""Rev vs Mktg &amp; Mktg Mix!G"" &amp; ROW(G271))
"),12.36)</f>
        <v>12.36</v>
      </c>
      <c r="H198" s="45">
        <f>VLOOKUP(VALUE(LEFT(A86, 4)), 'Raw Annual EBITDA'!A:H, 8, FALSE) / 4</f>
        <v>26741.5</v>
      </c>
      <c r="I198" s="81">
        <f>IFERROR(__xludf.DUMMYFUNCTION("IMPORTRANGE(""https://docs.google.com/spreadsheets/d/1bozxp9FwhaCNzy-RRGPVPfVYTttO4PUGDdaFvbz-Ue0/edit?gid=1870218791#gid=1870218791"", ""Rev vs Mktg &amp; Mktg Mix!i"" &amp; ROW(I271))
"),17.88)</f>
        <v>17.88</v>
      </c>
      <c r="J198" s="81">
        <f>IFERROR(__xludf.DUMMYFUNCTION("IMPORTRANGE(""https://docs.google.com/spreadsheets/d/1bozxp9FwhaCNzy-RRGPVPfVYTttO4PUGDdaFvbz-Ue0/edit?gid=1870218791#gid=1870218791"", ""Rev vs Mktg &amp; Mktg Mix!J"" &amp; ROW(J271))
"),-73.084)</f>
        <v>-73.084</v>
      </c>
      <c r="K198" s="43"/>
      <c r="L198" s="81">
        <f>IFERROR(__xludf.DUMMYFUNCTION("IMPORTRANGE(""https://docs.google.com/spreadsheets/d/1bozxp9FwhaCNzy-RRGPVPfVYTttO4PUGDdaFvbz-Ue0/edit?gid=1870218791#gid=1870218791"", ""Rev vs Mktg &amp; Mktg Mix!L"" &amp; ROW(N271))
"),37.872051281400005)</f>
        <v>37.87205128</v>
      </c>
      <c r="M198" s="43"/>
      <c r="N198" s="81">
        <f>IFERROR(__xludf.DUMMYFUNCTION("IMPORTRANGE(""https://docs.google.com/spreadsheets/d/1bozxp9FwhaCNzy-RRGPVPfVYTttO4PUGDdaFvbz-Ue0/edit?gid=1870218791#gid=1870218791"", ""Rev vs Mktg &amp; Mktg Mix!N"" &amp; ROW(N271))
"),-0.2622)</f>
        <v>-0.2622</v>
      </c>
      <c r="O198" s="47">
        <f>VLOOKUP(VALUE(LEFT(A200, 4)), 'Raw Annual EBITDA'!A:O, 15, FALSE) / 4
</f>
        <v>8228</v>
      </c>
      <c r="P198" s="43"/>
      <c r="Q198" s="43"/>
      <c r="R198" s="45"/>
      <c r="S198" s="45">
        <f>VLOOKUP(VALUE(LEFT(A198, 4)), 'Raw Annual EBITDA'!A:S, 19, FALSE) / 4</f>
        <v>2547.25</v>
      </c>
      <c r="T198" s="45">
        <f>VLOOKUP(VALUE(LEFT(A201, 4)), 'Raw Annual EBITDA'!A:T, 20, FALSE) / 4</f>
        <v>883.75</v>
      </c>
      <c r="U198" s="43"/>
      <c r="V198" s="45"/>
      <c r="W198" s="43"/>
      <c r="X198" s="45">
        <f>VLOOKUP(VALUE(LEFT($A200, 4)), 'Raw Annual EBITDA'!$A:X, 24, FALSE) / 4
</f>
        <v>79063.75</v>
      </c>
      <c r="Y198" s="45">
        <f>VLOOKUP(VALUE(LEFT($A198, 4)), 'Raw Annual EBITDA'!$A:Y, 25, FALSE) / 4</f>
        <v>8130.207338</v>
      </c>
      <c r="Z198" s="45">
        <f>VLOOKUP(VALUE(LEFT($A198, 4)), 'Raw Annual EBITDA'!$A:Z, 26, FALSE) / 4</f>
        <v>4091.25</v>
      </c>
      <c r="AA198" s="45">
        <f>VLOOKUP(VALUE(LEFT($A198, 4)), 'Raw Annual EBITDA'!$A:AA, 27, FALSE) / 4</f>
        <v>2794.5</v>
      </c>
      <c r="AB198" s="45">
        <f>VLOOKUP(VALUE(LEFT($A198, 4)), 'Raw Annual EBITDA'!$A:AB, 28, FALSE) / 4</f>
        <v>-1401.25</v>
      </c>
      <c r="AC198" s="45">
        <f>VLOOKUP(VALUE(LEFT($A198, 4)), 'Raw Annual EBITDA'!$A:AC, 29, FALSE) / 4</f>
        <v>-44985.25</v>
      </c>
      <c r="AD198" s="43"/>
    </row>
    <row r="199">
      <c r="A199" s="42" t="s">
        <v>111</v>
      </c>
      <c r="B199" s="45">
        <f>VLOOKUP(VALUE(LEFT(A199, 4)), 'Raw Annual EBITDA'!A:B, 2, FALSE) / 4
</f>
        <v>-505</v>
      </c>
      <c r="C199" s="80">
        <f>IFERROR(__xludf.DUMMYFUNCTION("IMPORTRANGE(""https://docs.google.com/spreadsheets/d/1bozxp9FwhaCNzy-RRGPVPfVYTttO4PUGDdaFvbz-Ue0/edit?gid=1870218791#gid=1870218791"", ""Rev vs Mktg &amp; Mktg Mix!C"" &amp; ROW(C272))
"),863.117)</f>
        <v>863.117</v>
      </c>
      <c r="D199" s="80">
        <f>IFERROR(__xludf.DUMMYFUNCTION("IMPORTRANGE(""https://docs.google.com/spreadsheets/d/1bozxp9FwhaCNzy-RRGPVPfVYTttO4PUGDdaFvbz-Ue0/edit?gid=1870218791#gid=1870218791"", ""Rev vs Mktg &amp; Mktg Mix!D"" &amp; ROW(D272))
"),57.0)</f>
        <v>57</v>
      </c>
      <c r="E199" s="80">
        <f>IFERROR(__xludf.DUMMYFUNCTION("IMPORTRANGE(""https://docs.google.com/spreadsheets/d/1bozxp9FwhaCNzy-RRGPVPfVYTttO4PUGDdaFvbz-Ue0/edit?gid=1870218791#gid=1870218791"", ""Rev vs Mktg &amp; Mktg Mix!E"" &amp; ROW(E272))
"),134.0)</f>
        <v>134</v>
      </c>
      <c r="F199" s="80">
        <f>IFERROR(__xludf.DUMMYFUNCTION("IMPORTRANGE(""https://docs.google.com/spreadsheets/d/1bozxp9FwhaCNzy-RRGPVPfVYTttO4PUGDdaFvbz-Ue0/edit?gid=1870218791#gid=1870218791"", ""Rev vs Mktg &amp; Mktg Mix!F"" &amp; ROW(F272))
"),44.0)</f>
        <v>44</v>
      </c>
      <c r="G199" s="81">
        <f>IFERROR(__xludf.DUMMYFUNCTION("IMPORTRANGE(""https://docs.google.com/spreadsheets/d/1bozxp9FwhaCNzy-RRGPVPfVYTttO4PUGDdaFvbz-Ue0/edit?gid=1870218791#gid=1870218791"", ""Rev vs Mktg &amp; Mktg Mix!G"" &amp; ROW(G272))
"),-3.066)</f>
        <v>-3.066</v>
      </c>
      <c r="H199" s="51">
        <f>IFERROR(__xludf.DUMMYFUNCTION("IMPORTRANGE(""https://docs.google.com/spreadsheets/d/1bozxp9FwhaCNzy-RRGPVPfVYTttO4PUGDdaFvbz-Ue0/edit?gid=1870218791#gid=1870218791"", ""Rev vs Mktg &amp; Mktg Mix!H"" &amp; ROW(G272))
"),28.270000000000003)</f>
        <v>28.27</v>
      </c>
      <c r="I199" s="81">
        <f>IFERROR(__xludf.DUMMYFUNCTION("IMPORTRANGE(""https://docs.google.com/spreadsheets/d/1bozxp9FwhaCNzy-RRGPVPfVYTttO4PUGDdaFvbz-Ue0/edit?gid=1870218791#gid=1870218791"", ""Rev vs Mktg &amp; Mktg Mix!i"" &amp; ROW(I272))
"),7.213)</f>
        <v>7.213</v>
      </c>
      <c r="J199" s="81">
        <f>IFERROR(__xludf.DUMMYFUNCTION("IMPORTRANGE(""https://docs.google.com/spreadsheets/d/1bozxp9FwhaCNzy-RRGPVPfVYTttO4PUGDdaFvbz-Ue0/edit?gid=1870218791#gid=1870218791"", ""Rev vs Mktg &amp; Mktg Mix!J"" &amp; ROW(J272))
"),-68.415)</f>
        <v>-68.415</v>
      </c>
      <c r="K199" s="43"/>
      <c r="L199" s="81">
        <f>IFERROR(__xludf.DUMMYFUNCTION("IMPORTRANGE(""https://docs.google.com/spreadsheets/d/1bozxp9FwhaCNzy-RRGPVPfVYTttO4PUGDdaFvbz-Ue0/edit?gid=1870218791#gid=1870218791"", ""Rev vs Mktg &amp; Mktg Mix!L"" &amp; ROW(N272))
"),55.902100222499996)</f>
        <v>55.90210022</v>
      </c>
      <c r="M199" s="43"/>
      <c r="N199" s="81">
        <f>IFERROR(__xludf.DUMMYFUNCTION("IMPORTRANGE(""https://docs.google.com/spreadsheets/d/1bozxp9FwhaCNzy-RRGPVPfVYTttO4PUGDdaFvbz-Ue0/edit?gid=1870218791#gid=1870218791"", ""Rev vs Mktg &amp; Mktg Mix!N"" &amp; ROW(N272))
"),-2.0295)</f>
        <v>-2.0295</v>
      </c>
      <c r="O199" s="47">
        <f>VLOOKUP(VALUE(LEFT(A201, 4)), 'Raw Annual EBITDA'!A:O, 15, FALSE) / 4
</f>
        <v>8228</v>
      </c>
      <c r="P199" s="43"/>
      <c r="Q199" s="43"/>
      <c r="R199" s="45"/>
      <c r="S199" s="45">
        <f>VLOOKUP(VALUE(LEFT(A199, 4)), 'Raw Annual EBITDA'!A:S, 19, FALSE) / 4</f>
        <v>2547.25</v>
      </c>
      <c r="T199" s="45">
        <f>VLOOKUP(VALUE(LEFT(A202, 4)), 'Raw Annual EBITDA'!A:T, 20, FALSE) / 4</f>
        <v>598.5</v>
      </c>
      <c r="U199" s="43"/>
      <c r="V199" s="45"/>
      <c r="W199" s="43"/>
      <c r="X199" s="45">
        <f>VLOOKUP(VALUE(LEFT($A201, 4)), 'Raw Annual EBITDA'!$A:X, 24, FALSE) / 4
</f>
        <v>79063.75</v>
      </c>
      <c r="Y199" s="45">
        <f>VLOOKUP(VALUE(LEFT($A199, 4)), 'Raw Annual EBITDA'!$A:Y, 25, FALSE) / 4</f>
        <v>8130.207338</v>
      </c>
      <c r="Z199" s="45">
        <f>VLOOKUP(VALUE(LEFT($A199, 4)), 'Raw Annual EBITDA'!$A:Z, 26, FALSE) / 4</f>
        <v>4091.25</v>
      </c>
      <c r="AA199" s="45">
        <f>VLOOKUP(VALUE(LEFT($A199, 4)), 'Raw Annual EBITDA'!$A:AA, 27, FALSE) / 4</f>
        <v>2794.5</v>
      </c>
      <c r="AB199" s="45">
        <f>VLOOKUP(VALUE(LEFT($A199, 4)), 'Raw Annual EBITDA'!$A:AB, 28, FALSE) / 4</f>
        <v>-1401.25</v>
      </c>
      <c r="AC199" s="45">
        <f>VLOOKUP(VALUE(LEFT($A199, 4)), 'Raw Annual EBITDA'!$A:AC, 29, FALSE) / 4</f>
        <v>-44985.25</v>
      </c>
      <c r="AD199" s="43"/>
    </row>
    <row r="200">
      <c r="A200" s="42" t="s">
        <v>112</v>
      </c>
      <c r="B200" s="45">
        <f>VLOOKUP(VALUE(LEFT(A200, 4)), 'Raw Annual EBITDA'!A:B, 2, FALSE) / 4
</f>
        <v>-505</v>
      </c>
      <c r="C200" s="80">
        <f>IFERROR(__xludf.DUMMYFUNCTION("IMPORTRANGE(""https://docs.google.com/spreadsheets/d/1bozxp9FwhaCNzy-RRGPVPfVYTttO4PUGDdaFvbz-Ue0/edit?gid=1870218791#gid=1870218791"", ""Rev vs Mktg &amp; Mktg Mix!C"" &amp; ROW(C273))
"),2066.845)</f>
        <v>2066.845</v>
      </c>
      <c r="D200" s="80">
        <f>IFERROR(__xludf.DUMMYFUNCTION("IMPORTRANGE(""https://docs.google.com/spreadsheets/d/1bozxp9FwhaCNzy-RRGPVPfVYTttO4PUGDdaFvbz-Ue0/edit?gid=1870218791#gid=1870218791"", ""Rev vs Mktg &amp; Mktg Mix!D"" &amp; ROW(D273))
"),415.0)</f>
        <v>415</v>
      </c>
      <c r="E200" s="80">
        <f>IFERROR(__xludf.DUMMYFUNCTION("IMPORTRANGE(""https://docs.google.com/spreadsheets/d/1bozxp9FwhaCNzy-RRGPVPfVYTttO4PUGDdaFvbz-Ue0/edit?gid=1870218791#gid=1870218791"", ""Rev vs Mktg &amp; Mktg Mix!E"" &amp; ROW(E273))
"),232.0)</f>
        <v>232</v>
      </c>
      <c r="F200" s="80">
        <f>IFERROR(__xludf.DUMMYFUNCTION("IMPORTRANGE(""https://docs.google.com/spreadsheets/d/1bozxp9FwhaCNzy-RRGPVPfVYTttO4PUGDdaFvbz-Ue0/edit?gid=1870218791#gid=1870218791"", ""Rev vs Mktg &amp; Mktg Mix!F"" &amp; ROW(F273))
"),38.0)</f>
        <v>38</v>
      </c>
      <c r="G200" s="81">
        <f>IFERROR(__xludf.DUMMYFUNCTION("IMPORTRANGE(""https://docs.google.com/spreadsheets/d/1bozxp9FwhaCNzy-RRGPVPfVYTttO4PUGDdaFvbz-Ue0/edit?gid=1870218791#gid=1870218791"", ""Rev vs Mktg &amp; Mktg Mix!G"" &amp; ROW(G273))
"),-14.008)</f>
        <v>-14.008</v>
      </c>
      <c r="H200" s="54">
        <f>IFERROR(__xludf.DUMMYFUNCTION("IMPORTRANGE(""https://docs.google.com/spreadsheets/d/1bozxp9FwhaCNzy-RRGPVPfVYTttO4PUGDdaFvbz-Ue0/edit?gid=1870218791#gid=1870218791"", ""Rev vs Mktg &amp; Mktg Mix!H"" &amp; ROW(G273))
"),32.67)</f>
        <v>32.67</v>
      </c>
      <c r="I200" s="81">
        <f>IFERROR(__xludf.DUMMYFUNCTION("IMPORTRANGE(""https://docs.google.com/spreadsheets/d/1bozxp9FwhaCNzy-RRGPVPfVYTttO4PUGDdaFvbz-Ue0/edit?gid=1870218791#gid=1870218791"", ""Rev vs Mktg &amp; Mktg Mix!i"" &amp; ROW(I273))
"),15.397)</f>
        <v>15.397</v>
      </c>
      <c r="J200" s="81">
        <f>IFERROR(__xludf.DUMMYFUNCTION("IMPORTRANGE(""https://docs.google.com/spreadsheets/d/1bozxp9FwhaCNzy-RRGPVPfVYTttO4PUGDdaFvbz-Ue0/edit?gid=1870218791#gid=1870218791"", ""Rev vs Mktg &amp; Mktg Mix!J"" &amp; ROW(J273))
"),-62.271)</f>
        <v>-62.271</v>
      </c>
      <c r="K200" s="43"/>
      <c r="L200" s="81">
        <f>IFERROR(__xludf.DUMMYFUNCTION("IMPORTRANGE(""https://docs.google.com/spreadsheets/d/1bozxp9FwhaCNzy-RRGPVPfVYTttO4PUGDdaFvbz-Ue0/edit?gid=1870218791#gid=1870218791"", ""Rev vs Mktg &amp; Mktg Mix!L"" &amp; ROW(N273))
"),37.0709996958)</f>
        <v>37.0709997</v>
      </c>
      <c r="M200" s="43"/>
      <c r="N200" s="81">
        <f>IFERROR(__xludf.DUMMYFUNCTION("IMPORTRANGE(""https://docs.google.com/spreadsheets/d/1bozxp9FwhaCNzy-RRGPVPfVYTttO4PUGDdaFvbz-Ue0/edit?gid=1870218791#gid=1870218791"", ""Rev vs Mktg &amp; Mktg Mix!N"" &amp; ROW(N273))
"),-0.5106)</f>
        <v>-0.5106</v>
      </c>
      <c r="O200" s="47">
        <f>VLOOKUP(VALUE(LEFT(A202, 4)), 'Raw Annual EBITDA'!A:O, 15, FALSE) / 4
</f>
        <v>16308.25</v>
      </c>
      <c r="P200" s="43"/>
      <c r="Q200" s="43"/>
      <c r="R200" s="45"/>
      <c r="S200" s="45">
        <f>VLOOKUP(VALUE(LEFT(A200, 4)), 'Raw Annual EBITDA'!A:S, 19, FALSE) / 4</f>
        <v>2547.25</v>
      </c>
      <c r="T200" s="45">
        <f>VLOOKUP(VALUE(LEFT(A203, 4)), 'Raw Annual EBITDA'!A:T, 20, FALSE) / 4</f>
        <v>598.5</v>
      </c>
      <c r="U200" s="43"/>
      <c r="V200" s="45"/>
      <c r="W200" s="43"/>
      <c r="X200" s="45">
        <f>VLOOKUP(VALUE(LEFT($A202, 4)), 'Raw Annual EBITDA'!$A:X, 24, FALSE) / 4
</f>
        <v>78189.25</v>
      </c>
      <c r="Y200" s="45">
        <f>VLOOKUP(VALUE(LEFT($A200, 4)), 'Raw Annual EBITDA'!$A:Y, 25, FALSE) / 4</f>
        <v>8130.207338</v>
      </c>
      <c r="Z200" s="45">
        <f>VLOOKUP(VALUE(LEFT($A200, 4)), 'Raw Annual EBITDA'!$A:Z, 26, FALSE) / 4</f>
        <v>4091.25</v>
      </c>
      <c r="AA200" s="45">
        <f>VLOOKUP(VALUE(LEFT($A200, 4)), 'Raw Annual EBITDA'!$A:AA, 27, FALSE) / 4</f>
        <v>2794.5</v>
      </c>
      <c r="AB200" s="45">
        <f>VLOOKUP(VALUE(LEFT($A200, 4)), 'Raw Annual EBITDA'!$A:AB, 28, FALSE) / 4</f>
        <v>-1401.25</v>
      </c>
      <c r="AC200" s="45">
        <f>VLOOKUP(VALUE(LEFT($A200, 4)), 'Raw Annual EBITDA'!$A:AC, 29, FALSE) / 4</f>
        <v>-44985.25</v>
      </c>
      <c r="AD200" s="43"/>
    </row>
    <row r="201">
      <c r="A201" s="42" t="s">
        <v>113</v>
      </c>
      <c r="B201" s="45">
        <f>VLOOKUP(VALUE(LEFT(A201, 4)), 'Raw Annual EBITDA'!A:B, 2, FALSE) / 4
</f>
        <v>-505</v>
      </c>
      <c r="C201" s="80">
        <f>IFERROR(__xludf.DUMMYFUNCTION("IMPORTRANGE(""https://docs.google.com/spreadsheets/d/1bozxp9FwhaCNzy-RRGPVPfVYTttO4PUGDdaFvbz-Ue0/edit?gid=1870218791#gid=1870218791"", ""Rev vs Mktg &amp; Mktg Mix!C"" &amp; ROW(C274))
"),942.0)</f>
        <v>942</v>
      </c>
      <c r="D201" s="80">
        <f>IFERROR(__xludf.DUMMYFUNCTION("IMPORTRANGE(""https://docs.google.com/spreadsheets/d/1bozxp9FwhaCNzy-RRGPVPfVYTttO4PUGDdaFvbz-Ue0/edit?gid=1870218791#gid=1870218791"", ""Rev vs Mktg &amp; Mktg Mix!D"" &amp; ROW(D274))
"),76.0)</f>
        <v>76</v>
      </c>
      <c r="E201" s="80">
        <f>IFERROR(__xludf.DUMMYFUNCTION("IMPORTRANGE(""https://docs.google.com/spreadsheets/d/1bozxp9FwhaCNzy-RRGPVPfVYTttO4PUGDdaFvbz-Ue0/edit?gid=1870218791#gid=1870218791"", ""Rev vs Mktg &amp; Mktg Mix!E"" &amp; ROW(E274))
"),132.0)</f>
        <v>132</v>
      </c>
      <c r="F201" s="80">
        <f>IFERROR(__xludf.DUMMYFUNCTION("IMPORTRANGE(""https://docs.google.com/spreadsheets/d/1bozxp9FwhaCNzy-RRGPVPfVYTttO4PUGDdaFvbz-Ue0/edit?gid=1870218791#gid=1870218791"", ""Rev vs Mktg &amp; Mktg Mix!F"" &amp; ROW(F274))
"),3.0)</f>
        <v>3</v>
      </c>
      <c r="G201" s="81">
        <f>IFERROR(__xludf.DUMMYFUNCTION("IMPORTRANGE(""https://docs.google.com/spreadsheets/d/1bozxp9FwhaCNzy-RRGPVPfVYTttO4PUGDdaFvbz-Ue0/edit?gid=1870218791#gid=1870218791"", ""Rev vs Mktg &amp; Mktg Mix!G"" &amp; ROW(G274))
"),-13.099)</f>
        <v>-13.099</v>
      </c>
      <c r="H201" s="54">
        <f>IFERROR(__xludf.DUMMYFUNCTION("IMPORTRANGE(""https://docs.google.com/spreadsheets/d/1bozxp9FwhaCNzy-RRGPVPfVYTttO4PUGDdaFvbz-Ue0/edit?gid=1870218791#gid=1870218791"", ""Rev vs Mktg &amp; Mktg Mix!H"" &amp; ROW(G274))
"),30.580000000000002)</f>
        <v>30.58</v>
      </c>
      <c r="I201" s="81">
        <f>IFERROR(__xludf.DUMMYFUNCTION("IMPORTRANGE(""https://docs.google.com/spreadsheets/d/1bozxp9FwhaCNzy-RRGPVPfVYTttO4PUGDdaFvbz-Ue0/edit?gid=1870218791#gid=1870218791"", ""Rev vs Mktg &amp; Mktg Mix!i"" &amp; ROW(I274))
"),13.87)</f>
        <v>13.87</v>
      </c>
      <c r="J201" s="81">
        <f>IFERROR(__xludf.DUMMYFUNCTION("IMPORTRANGE(""https://docs.google.com/spreadsheets/d/1bozxp9FwhaCNzy-RRGPVPfVYTttO4PUGDdaFvbz-Ue0/edit?gid=1870218791#gid=1870218791"", ""Rev vs Mktg &amp; Mktg Mix!J"" &amp; ROW(J274))
"),-45.432)</f>
        <v>-45.432</v>
      </c>
      <c r="K201" s="43"/>
      <c r="L201" s="81">
        <f>IFERROR(__xludf.DUMMYFUNCTION("IMPORTRANGE(""https://docs.google.com/spreadsheets/d/1bozxp9FwhaCNzy-RRGPVPfVYTttO4PUGDdaFvbz-Ue0/edit?gid=1870218791#gid=1870218791"", ""Rev vs Mktg &amp; Mktg Mix!L"" &amp; ROW(N274))
"),7.887255383699994)</f>
        <v>7.887255384</v>
      </c>
      <c r="M201" s="43"/>
      <c r="N201" s="81">
        <f>IFERROR(__xludf.DUMMYFUNCTION("IMPORTRANGE(""https://docs.google.com/spreadsheets/d/1bozxp9FwhaCNzy-RRGPVPfVYTttO4PUGDdaFvbz-Ue0/edit?gid=1870218791#gid=1870218791"", ""Rev vs Mktg &amp; Mktg Mix!N"" &amp; ROW(N274))
"),-2.379)</f>
        <v>-2.379</v>
      </c>
      <c r="O201" s="47">
        <f>VLOOKUP(VALUE(LEFT(A203, 4)), 'Raw Annual EBITDA'!A:O, 15, FALSE) / 4
</f>
        <v>16308.25</v>
      </c>
      <c r="P201" s="43"/>
      <c r="Q201" s="43"/>
      <c r="R201" s="45"/>
      <c r="S201" s="45">
        <f>VLOOKUP(VALUE(LEFT(A201, 4)), 'Raw Annual EBITDA'!A:S, 19, FALSE) / 4</f>
        <v>2547.25</v>
      </c>
      <c r="T201" s="45">
        <f>VLOOKUP(VALUE(LEFT(A204, 4)), 'Raw Annual EBITDA'!A:T, 20, FALSE) / 4</f>
        <v>598.5</v>
      </c>
      <c r="U201" s="43"/>
      <c r="V201" s="45"/>
      <c r="W201" s="43"/>
      <c r="X201" s="45">
        <f>VLOOKUP(VALUE(LEFT($A203, 4)), 'Raw Annual EBITDA'!$A:X, 24, FALSE) / 4
</f>
        <v>78189.25</v>
      </c>
      <c r="Y201" s="45">
        <f>VLOOKUP(VALUE(LEFT($A201, 4)), 'Raw Annual EBITDA'!$A:Y, 25, FALSE) / 4</f>
        <v>8130.207338</v>
      </c>
      <c r="Z201" s="45">
        <f>VLOOKUP(VALUE(LEFT($A201, 4)), 'Raw Annual EBITDA'!$A:Z, 26, FALSE) / 4</f>
        <v>4091.25</v>
      </c>
      <c r="AA201" s="45">
        <f>VLOOKUP(VALUE(LEFT($A201, 4)), 'Raw Annual EBITDA'!$A:AA, 27, FALSE) / 4</f>
        <v>2794.5</v>
      </c>
      <c r="AB201" s="45">
        <f>VLOOKUP(VALUE(LEFT($A201, 4)), 'Raw Annual EBITDA'!$A:AB, 28, FALSE) / 4</f>
        <v>-1401.25</v>
      </c>
      <c r="AC201" s="45">
        <f>VLOOKUP(VALUE(LEFT($A201, 4)), 'Raw Annual EBITDA'!$A:AC, 29, FALSE) / 4</f>
        <v>-44985.25</v>
      </c>
      <c r="AD201" s="43"/>
    </row>
    <row r="202">
      <c r="A202" s="42" t="s">
        <v>114</v>
      </c>
      <c r="B202" s="50">
        <f>VLOOKUP(VALUE(LEFT(A202, 4)), 'Raw Annual EBITDA'!A:B, 2, FALSE) / 4
</f>
        <v>25286.25</v>
      </c>
      <c r="C202" s="80">
        <f>IFERROR(__xludf.DUMMYFUNCTION("IMPORTRANGE(""https://docs.google.com/spreadsheets/d/1bozxp9FwhaCNzy-RRGPVPfVYTttO4PUGDdaFvbz-Ue0/edit?gid=1870218791#gid=1870218791"", ""Rev vs Mktg &amp; Mktg Mix!C"" &amp; ROW(C275))
"),753.337)</f>
        <v>753.337</v>
      </c>
      <c r="D202" s="80">
        <f>IFERROR(__xludf.DUMMYFUNCTION("IMPORTRANGE(""https://docs.google.com/spreadsheets/d/1bozxp9FwhaCNzy-RRGPVPfVYTttO4PUGDdaFvbz-Ue0/edit?gid=1870218791#gid=1870218791"", ""Rev vs Mktg &amp; Mktg Mix!D"" &amp; ROW(D275))
"),-169.0)</f>
        <v>-169</v>
      </c>
      <c r="E202" s="80">
        <f>IFERROR(__xludf.DUMMYFUNCTION("IMPORTRANGE(""https://docs.google.com/spreadsheets/d/1bozxp9FwhaCNzy-RRGPVPfVYTttO4PUGDdaFvbz-Ue0/edit?gid=1870218791#gid=1870218791"", ""Rev vs Mktg &amp; Mktg Mix!E"" &amp; ROW(E275))
"),184.0)</f>
        <v>184</v>
      </c>
      <c r="F202" s="80">
        <f>IFERROR(__xludf.DUMMYFUNCTION("IMPORTRANGE(""https://docs.google.com/spreadsheets/d/1bozxp9FwhaCNzy-RRGPVPfVYTttO4PUGDdaFvbz-Ue0/edit?gid=1870218791#gid=1870218791"", ""Rev vs Mktg &amp; Mktg Mix!F"" &amp; ROW(F275))
"),21.0)</f>
        <v>21</v>
      </c>
      <c r="G202" s="81">
        <f>IFERROR(__xludf.DUMMYFUNCTION("IMPORTRANGE(""https://docs.google.com/spreadsheets/d/1bozxp9FwhaCNzy-RRGPVPfVYTttO4PUGDdaFvbz-Ue0/edit?gid=1870218791#gid=1870218791"", ""Rev vs Mktg &amp; Mktg Mix!G"" &amp; ROW(G275))
"),-29.132)</f>
        <v>-29.132</v>
      </c>
      <c r="H202" s="54">
        <f>IFERROR(__xludf.DUMMYFUNCTION("IMPORTRANGE(""https://docs.google.com/spreadsheets/d/1bozxp9FwhaCNzy-RRGPVPfVYTttO4PUGDdaFvbz-Ue0/edit?gid=1870218791#gid=1870218791"", ""Rev vs Mktg &amp; Mktg Mix!H"" &amp; ROW(G275))
"),29.260000000000005)</f>
        <v>29.26</v>
      </c>
      <c r="I202" s="81">
        <f>IFERROR(__xludf.DUMMYFUNCTION("IMPORTRANGE(""https://docs.google.com/spreadsheets/d/1bozxp9FwhaCNzy-RRGPVPfVYTttO4PUGDdaFvbz-Ue0/edit?gid=1870218791#gid=1870218791"", ""Rev vs Mktg &amp; Mktg Mix!i"" &amp; ROW(I275))
"),20.593)</f>
        <v>20.593</v>
      </c>
      <c r="J202" s="81">
        <f>IFERROR(__xludf.DUMMYFUNCTION("IMPORTRANGE(""https://docs.google.com/spreadsheets/d/1bozxp9FwhaCNzy-RRGPVPfVYTttO4PUGDdaFvbz-Ue0/edit?gid=1870218791#gid=1870218791"", ""Rev vs Mktg &amp; Mktg Mix!J"" &amp; ROW(J275))
"),-44.031)</f>
        <v>-44.031</v>
      </c>
      <c r="K202" s="43"/>
      <c r="L202" s="81">
        <f>IFERROR(__xludf.DUMMYFUNCTION("IMPORTRANGE(""https://docs.google.com/spreadsheets/d/1bozxp9FwhaCNzy-RRGPVPfVYTttO4PUGDdaFvbz-Ue0/edit?gid=1870218791#gid=1870218791"", ""Rev vs Mktg &amp; Mktg Mix!L"" &amp; ROW(N275))
"),24.4699466277)</f>
        <v>24.46994663</v>
      </c>
      <c r="M202" s="43"/>
      <c r="N202" s="81">
        <f>IFERROR(__xludf.DUMMYFUNCTION("IMPORTRANGE(""https://docs.google.com/spreadsheets/d/1bozxp9FwhaCNzy-RRGPVPfVYTttO4PUGDdaFvbz-Ue0/edit?gid=1870218791#gid=1870218791"", ""Rev vs Mktg &amp; Mktg Mix!N"" &amp; ROW(N275))
"),0.2411)</f>
        <v>0.2411</v>
      </c>
      <c r="O202" s="47">
        <f>VLOOKUP(VALUE(LEFT(A204, 4)), 'Raw Annual EBITDA'!A:O, 15, FALSE) / 4
</f>
        <v>16308.25</v>
      </c>
      <c r="P202" s="43"/>
      <c r="Q202" s="43"/>
      <c r="R202" s="45"/>
      <c r="S202" s="45">
        <f>VLOOKUP(VALUE(LEFT(A202, 4)), 'Raw Annual EBITDA'!A:S, 19, FALSE) / 4</f>
        <v>7915</v>
      </c>
      <c r="T202" s="45">
        <f>VLOOKUP(VALUE(LEFT(A205, 4)), 'Raw Annual EBITDA'!A:T, 20, FALSE) / 4</f>
        <v>598.5</v>
      </c>
      <c r="U202" s="82" t="str">
        <f>IFERROR(__xludf.DUMMYFUNCTION("IMPORTRANGE(""https://docs.google.com/spreadsheets/d/1bozxp9FwhaCNzy-RRGPVPfVYTttO4PUGDdaFvbz-Ue0/edit?gid=1870218791#gid=1870218791"", ""Rev vs Mktg &amp; Mktg Mix!u"" &amp; ROW(Z275))
"),"")</f>
        <v/>
      </c>
      <c r="V202" s="45"/>
      <c r="W202" s="43"/>
      <c r="X202" s="45">
        <f>VLOOKUP(VALUE(LEFT($A204, 4)), 'Raw Annual EBITDA'!$A:X, 24, FALSE) / 4
</f>
        <v>78189.25</v>
      </c>
      <c r="Y202" s="45">
        <f>VLOOKUP(VALUE(LEFT($A202, 4)), 'Raw Annual EBITDA'!$A:Y, 25, FALSE) / 4</f>
        <v>13646.07556</v>
      </c>
      <c r="Z202" s="45">
        <f>VLOOKUP(VALUE(LEFT($A202, 4)), 'Raw Annual EBITDA'!$A:Z, 26, FALSE) / 4</f>
        <v>3182.25</v>
      </c>
      <c r="AA202" s="45">
        <f>VLOOKUP(VALUE(LEFT($A202, 4)), 'Raw Annual EBITDA'!$A:AA, 27, FALSE) / 4</f>
        <v>2352.75</v>
      </c>
      <c r="AB202" s="45">
        <f>VLOOKUP(VALUE(LEFT($A202, 4)), 'Raw Annual EBITDA'!$A:AB, 28, FALSE) / 4</f>
        <v>-365.75</v>
      </c>
      <c r="AC202" s="45">
        <f>VLOOKUP(VALUE(LEFT($A202, 4)), 'Raw Annual EBITDA'!$A:AC, 29, FALSE) / 4</f>
        <v>-48086.5</v>
      </c>
      <c r="AD202" s="43"/>
    </row>
    <row r="203">
      <c r="A203" s="42" t="s">
        <v>115</v>
      </c>
      <c r="B203" s="50">
        <f>VLOOKUP(VALUE(LEFT(A203, 4)), 'Raw Annual EBITDA'!A:B, 2, FALSE) / 4
</f>
        <v>25286.25</v>
      </c>
      <c r="C203" s="80">
        <f>IFERROR(__xludf.DUMMYFUNCTION("IMPORTRANGE(""https://docs.google.com/spreadsheets/d/1bozxp9FwhaCNzy-RRGPVPfVYTttO4PUGDdaFvbz-Ue0/edit?gid=1870218791#gid=1870218791"", ""Rev vs Mktg &amp; Mktg Mix!C"" &amp; ROW(C276))
"),1208.911)</f>
        <v>1208.911</v>
      </c>
      <c r="D203" s="80">
        <f>IFERROR(__xludf.DUMMYFUNCTION("IMPORTRANGE(""https://docs.google.com/spreadsheets/d/1bozxp9FwhaCNzy-RRGPVPfVYTttO4PUGDdaFvbz-Ue0/edit?gid=1870218791#gid=1870218791"", ""Rev vs Mktg &amp; Mktg Mix!D"" &amp; ROW(D276))
"),-14.0)</f>
        <v>-14</v>
      </c>
      <c r="E203" s="80">
        <f>IFERROR(__xludf.DUMMYFUNCTION("IMPORTRANGE(""https://docs.google.com/spreadsheets/d/1bozxp9FwhaCNzy-RRGPVPfVYTttO4PUGDdaFvbz-Ue0/edit?gid=1870218791#gid=1870218791"", ""Rev vs Mktg &amp; Mktg Mix!E"" &amp; ROW(E276))
"),444.0)</f>
        <v>444</v>
      </c>
      <c r="F203" s="80">
        <f>IFERROR(__xludf.DUMMYFUNCTION("IMPORTRANGE(""https://docs.google.com/spreadsheets/d/1bozxp9FwhaCNzy-RRGPVPfVYTttO4PUGDdaFvbz-Ue0/edit?gid=1870218791#gid=1870218791"", ""Rev vs Mktg &amp; Mktg Mix!F"" &amp; ROW(F276))
"),42.0)</f>
        <v>42</v>
      </c>
      <c r="G203" s="81">
        <f>IFERROR(__xludf.DUMMYFUNCTION("IMPORTRANGE(""https://docs.google.com/spreadsheets/d/1bozxp9FwhaCNzy-RRGPVPfVYTttO4PUGDdaFvbz-Ue0/edit?gid=1870218791#gid=1870218791"", ""Rev vs Mktg &amp; Mktg Mix!G"" &amp; ROW(G276))
"),-27.282)</f>
        <v>-27.282</v>
      </c>
      <c r="H203" s="54">
        <f>IFERROR(__xludf.DUMMYFUNCTION("IMPORTRANGE(""https://docs.google.com/spreadsheets/d/1bozxp9FwhaCNzy-RRGPVPfVYTttO4PUGDdaFvbz-Ue0/edit?gid=1870218791#gid=1870218791"", ""Rev vs Mktg &amp; Mktg Mix!H"" &amp; ROW(G276))
"),28.270000000000003)</f>
        <v>28.27</v>
      </c>
      <c r="I203" s="81">
        <f>IFERROR(__xludf.DUMMYFUNCTION("IMPORTRANGE(""https://docs.google.com/spreadsheets/d/1bozxp9FwhaCNzy-RRGPVPfVYTttO4PUGDdaFvbz-Ue0/edit?gid=1870218791#gid=1870218791"", ""Rev vs Mktg &amp; Mktg Mix!i"" &amp; ROW(I276))
"),1.711)</f>
        <v>1.711</v>
      </c>
      <c r="J203" s="81">
        <f>IFERROR(__xludf.DUMMYFUNCTION("IMPORTRANGE(""https://docs.google.com/spreadsheets/d/1bozxp9FwhaCNzy-RRGPVPfVYTttO4PUGDdaFvbz-Ue0/edit?gid=1870218791#gid=1870218791"", ""Rev vs Mktg &amp; Mktg Mix!J"" &amp; ROW(J276))
"),-51.196)</f>
        <v>-51.196</v>
      </c>
      <c r="K203" s="45"/>
      <c r="L203" s="81">
        <f>IFERROR(__xludf.DUMMYFUNCTION("IMPORTRANGE(""https://docs.google.com/spreadsheets/d/1bozxp9FwhaCNzy-RRGPVPfVYTttO4PUGDdaFvbz-Ue0/edit?gid=1870218791#gid=1870218791"", ""Rev vs Mktg &amp; Mktg Mix!L"" &amp; ROW(N276))
"),49.6170192189)</f>
        <v>49.61701922</v>
      </c>
      <c r="M203" s="43"/>
      <c r="N203" s="81">
        <f>IFERROR(__xludf.DUMMYFUNCTION("IMPORTRANGE(""https://docs.google.com/spreadsheets/d/1bozxp9FwhaCNzy-RRGPVPfVYTttO4PUGDdaFvbz-Ue0/edit?gid=1870218791#gid=1870218791"", ""Rev vs Mktg &amp; Mktg Mix!N"" &amp; ROW(N276))
"),-0.4073)</f>
        <v>-0.4073</v>
      </c>
      <c r="O203" s="47">
        <f>VLOOKUP(VALUE(LEFT(A205, 4)), 'Raw Annual EBITDA'!A:O, 15, FALSE) / 4
</f>
        <v>16308.25</v>
      </c>
      <c r="P203" s="43"/>
      <c r="Q203" s="43"/>
      <c r="R203" s="45"/>
      <c r="S203" s="45">
        <f>VLOOKUP(VALUE(LEFT(A203, 4)), 'Raw Annual EBITDA'!A:S, 19, FALSE) / 4</f>
        <v>7915</v>
      </c>
      <c r="T203" s="45">
        <f>VLOOKUP(VALUE(LEFT(A206, 4)), 'Raw Annual EBITDA'!A:T, 20, FALSE) / 4</f>
        <v>1205.75</v>
      </c>
      <c r="U203" s="82" t="str">
        <f>IFERROR(__xludf.DUMMYFUNCTION("IMPORTRANGE(""https://docs.google.com/spreadsheets/d/1bozxp9FwhaCNzy-RRGPVPfVYTttO4PUGDdaFvbz-Ue0/edit?gid=1870218791#gid=1870218791"", ""Rev vs Mktg &amp; Mktg Mix!u"" &amp; ROW(Z276))
"),"")</f>
        <v/>
      </c>
      <c r="V203" s="45"/>
      <c r="W203" s="43"/>
      <c r="X203" s="45">
        <f>VLOOKUP(VALUE(LEFT($A205, 4)), 'Raw Annual EBITDA'!$A:X, 24, FALSE) / 4
</f>
        <v>78189.25</v>
      </c>
      <c r="Y203" s="45">
        <f>VLOOKUP(VALUE(LEFT($A203, 4)), 'Raw Annual EBITDA'!$A:Y, 25, FALSE) / 4</f>
        <v>13646.07556</v>
      </c>
      <c r="Z203" s="45">
        <f>VLOOKUP(VALUE(LEFT($A203, 4)), 'Raw Annual EBITDA'!$A:Z, 26, FALSE) / 4</f>
        <v>3182.25</v>
      </c>
      <c r="AA203" s="45">
        <f>VLOOKUP(VALUE(LEFT($A203, 4)), 'Raw Annual EBITDA'!$A:AA, 27, FALSE) / 4</f>
        <v>2352.75</v>
      </c>
      <c r="AB203" s="45">
        <f>VLOOKUP(VALUE(LEFT($A203, 4)), 'Raw Annual EBITDA'!$A:AB, 28, FALSE) / 4</f>
        <v>-365.75</v>
      </c>
      <c r="AC203" s="45">
        <f>VLOOKUP(VALUE(LEFT($A203, 4)), 'Raw Annual EBITDA'!$A:AC, 29, FALSE) / 4</f>
        <v>-48086.5</v>
      </c>
      <c r="AD203" s="43"/>
    </row>
    <row r="204">
      <c r="A204" s="42" t="s">
        <v>116</v>
      </c>
      <c r="B204" s="50">
        <f>VLOOKUP(VALUE(LEFT(A204, 4)), 'Raw Annual EBITDA'!A:B, 2, FALSE) / 4
</f>
        <v>25286.25</v>
      </c>
      <c r="C204" s="80">
        <f>IFERROR(__xludf.DUMMYFUNCTION("IMPORTRANGE(""https://docs.google.com/spreadsheets/d/1bozxp9FwhaCNzy-RRGPVPfVYTttO4PUGDdaFvbz-Ue0/edit?gid=1870218791#gid=1870218791"", ""Rev vs Mktg &amp; Mktg Mix!C"" &amp; ROW(C277))
"),2240.846)</f>
        <v>2240.846</v>
      </c>
      <c r="D204" s="80">
        <f>IFERROR(__xludf.DUMMYFUNCTION("IMPORTRANGE(""https://docs.google.com/spreadsheets/d/1bozxp9FwhaCNzy-RRGPVPfVYTttO4PUGDdaFvbz-Ue0/edit?gid=1870218791#gid=1870218791"", ""Rev vs Mktg &amp; Mktg Mix!D"" &amp; ROW(D277))
"),612.0)</f>
        <v>612</v>
      </c>
      <c r="E204" s="80">
        <f>IFERROR(__xludf.DUMMYFUNCTION("IMPORTRANGE(""https://docs.google.com/spreadsheets/d/1bozxp9FwhaCNzy-RRGPVPfVYTttO4PUGDdaFvbz-Ue0/edit?gid=1870218791#gid=1870218791"", ""Rev vs Mktg &amp; Mktg Mix!E"" &amp; ROW(E277))
"),-148.0)</f>
        <v>-148</v>
      </c>
      <c r="F204" s="80">
        <f>IFERROR(__xludf.DUMMYFUNCTION("IMPORTRANGE(""https://docs.google.com/spreadsheets/d/1bozxp9FwhaCNzy-RRGPVPfVYTttO4PUGDdaFvbz-Ue0/edit?gid=1870218791#gid=1870218791"", ""Rev vs Mktg &amp; Mktg Mix!F"" &amp; ROW(F277))
"),87.0)</f>
        <v>87</v>
      </c>
      <c r="G204" s="81">
        <f>IFERROR(__xludf.DUMMYFUNCTION("IMPORTRANGE(""https://docs.google.com/spreadsheets/d/1bozxp9FwhaCNzy-RRGPVPfVYTttO4PUGDdaFvbz-Ue0/edit?gid=1870218791#gid=1870218791"", ""Rev vs Mktg &amp; Mktg Mix!G"" &amp; ROW(G277))
"),17.067)</f>
        <v>17.067</v>
      </c>
      <c r="H204" s="54">
        <f>IFERROR(__xludf.DUMMYFUNCTION("IMPORTRANGE(""https://docs.google.com/spreadsheets/d/1bozxp9FwhaCNzy-RRGPVPfVYTttO4PUGDdaFvbz-Ue0/edit?gid=1870218791#gid=1870218791"", ""Rev vs Mktg &amp; Mktg Mix!H"" &amp; ROW(G277))
"),28.380000000000003)</f>
        <v>28.38</v>
      </c>
      <c r="I204" s="81">
        <f>IFERROR(__xludf.DUMMYFUNCTION("IMPORTRANGE(""https://docs.google.com/spreadsheets/d/1bozxp9FwhaCNzy-RRGPVPfVYTttO4PUGDdaFvbz-Ue0/edit?gid=1870218791#gid=1870218791"", ""Rev vs Mktg &amp; Mktg Mix!i"" &amp; ROW(I277))
"),-1.975)</f>
        <v>-1.975</v>
      </c>
      <c r="J204" s="81">
        <f>IFERROR(__xludf.DUMMYFUNCTION("IMPORTRANGE(""https://docs.google.com/spreadsheets/d/1bozxp9FwhaCNzy-RRGPVPfVYTttO4PUGDdaFvbz-Ue0/edit?gid=1870218791#gid=1870218791"", ""Rev vs Mktg &amp; Mktg Mix!J"" &amp; ROW(J277))
"),-46.995)</f>
        <v>-46.995</v>
      </c>
      <c r="K204" s="45"/>
      <c r="L204" s="81">
        <f>IFERROR(__xludf.DUMMYFUNCTION("IMPORTRANGE(""https://docs.google.com/spreadsheets/d/1bozxp9FwhaCNzy-RRGPVPfVYTttO4PUGDdaFvbz-Ue0/edit?gid=1870218791#gid=1870218791"", ""Rev vs Mktg &amp; Mktg Mix!L"" &amp; ROW(N277))
"),-88.48270215539999)</f>
        <v>-88.48270216</v>
      </c>
      <c r="M204" s="83"/>
      <c r="N204" s="81">
        <f>IFERROR(__xludf.DUMMYFUNCTION("IMPORTRANGE(""https://docs.google.com/spreadsheets/d/1bozxp9FwhaCNzy-RRGPVPfVYTttO4PUGDdaFvbz-Ue0/edit?gid=1870218791#gid=1870218791"", ""Rev vs Mktg &amp; Mktg Mix!N"" &amp; ROW(N277))
"),-0.3794)</f>
        <v>-0.3794</v>
      </c>
      <c r="O204" s="53">
        <f>IFERROR(__xludf.DUMMYFUNCTION("IMPORTRANGE(""https://docs.google.com/spreadsheets/d/1bozxp9FwhaCNzy-RRGPVPfVYTttO4PUGDdaFvbz-Ue0/edit?gid=1870218791#gid=1870218791"", ""Rev vs Mktg &amp; Mktg Mix!O"" &amp; ROW(O277))
"),10.7575)</f>
        <v>10.7575</v>
      </c>
      <c r="P204" s="43"/>
      <c r="Q204" s="43"/>
      <c r="R204" s="45"/>
      <c r="S204" s="45">
        <f>VLOOKUP(VALUE(LEFT(A204, 4)), 'Raw Annual EBITDA'!A:S, 19, FALSE) / 4</f>
        <v>7915</v>
      </c>
      <c r="T204" s="45">
        <f>VLOOKUP(VALUE(LEFT(A207, 4)), 'Raw Annual EBITDA'!A:T, 20, FALSE) / 4</f>
        <v>1205.75</v>
      </c>
      <c r="U204" s="82" t="str">
        <f>IFERROR(__xludf.DUMMYFUNCTION("IMPORTRANGE(""https://docs.google.com/spreadsheets/d/1bozxp9FwhaCNzy-RRGPVPfVYTttO4PUGDdaFvbz-Ue0/edit?gid=1870218791#gid=1870218791"", ""Rev vs Mktg &amp; Mktg Mix!u"" &amp; ROW(Z277))
"),"")</f>
        <v/>
      </c>
      <c r="V204" s="45"/>
      <c r="W204" s="43"/>
      <c r="X204" s="45">
        <f>VLOOKUP(VALUE(LEFT($A206, 4)), 'Raw Annual EBITDA'!$A:X, 24, FALSE) / 4
</f>
        <v>84188</v>
      </c>
      <c r="Y204" s="45">
        <f>VLOOKUP(VALUE(LEFT($A204, 4)), 'Raw Annual EBITDA'!$A:Y, 25, FALSE) / 4</f>
        <v>13646.07556</v>
      </c>
      <c r="Z204" s="45">
        <f>VLOOKUP(VALUE(LEFT($A204, 4)), 'Raw Annual EBITDA'!$A:Z, 26, FALSE) / 4</f>
        <v>3182.25</v>
      </c>
      <c r="AA204" s="45">
        <f>VLOOKUP(VALUE(LEFT($A204, 4)), 'Raw Annual EBITDA'!$A:AA, 27, FALSE) / 4</f>
        <v>2352.75</v>
      </c>
      <c r="AB204" s="45">
        <f>VLOOKUP(VALUE(LEFT($A204, 4)), 'Raw Annual EBITDA'!$A:AB, 28, FALSE) / 4</f>
        <v>-365.75</v>
      </c>
      <c r="AC204" s="45">
        <f>VLOOKUP(VALUE(LEFT($A204, 4)), 'Raw Annual EBITDA'!$A:AC, 29, FALSE) / 4</f>
        <v>-48086.5</v>
      </c>
      <c r="AD204" s="43"/>
    </row>
    <row r="205">
      <c r="A205" s="42" t="s">
        <v>117</v>
      </c>
      <c r="B205" s="50">
        <f>VLOOKUP(VALUE(LEFT(A205, 4)), 'Raw Annual EBITDA'!A:B, 2, FALSE) / 4
</f>
        <v>25286.25</v>
      </c>
      <c r="C205" s="80">
        <f>IFERROR(__xludf.DUMMYFUNCTION("IMPORTRANGE(""https://docs.google.com/spreadsheets/d/1bozxp9FwhaCNzy-RRGPVPfVYTttO4PUGDdaFvbz-Ue0/edit?gid=1870218791#gid=1870218791"", ""Rev vs Mktg &amp; Mktg Mix!C"" &amp; ROW(C278))
"),632.0)</f>
        <v>632</v>
      </c>
      <c r="D205" s="80">
        <f>IFERROR(__xludf.DUMMYFUNCTION("IMPORTRANGE(""https://docs.google.com/spreadsheets/d/1bozxp9FwhaCNzy-RRGPVPfVYTttO4PUGDdaFvbz-Ue0/edit?gid=1870218791#gid=1870218791"", ""Rev vs Mktg &amp; Mktg Mix!D"" &amp; ROW(D278))
"),56.0)</f>
        <v>56</v>
      </c>
      <c r="E205" s="80">
        <f>IFERROR(__xludf.DUMMYFUNCTION("IMPORTRANGE(""https://docs.google.com/spreadsheets/d/1bozxp9FwhaCNzy-RRGPVPfVYTttO4PUGDdaFvbz-Ue0/edit?gid=1870218791#gid=1870218791"", ""Rev vs Mktg &amp; Mktg Mix!E"" &amp; ROW(E278))
"),-168.0)</f>
        <v>-168</v>
      </c>
      <c r="F205" s="80">
        <f>IFERROR(__xludf.DUMMYFUNCTION("IMPORTRANGE(""https://docs.google.com/spreadsheets/d/1bozxp9FwhaCNzy-RRGPVPfVYTttO4PUGDdaFvbz-Ue0/edit?gid=1870218791#gid=1870218791"", ""Rev vs Mktg &amp; Mktg Mix!F"" &amp; ROW(F278))
"),22.0)</f>
        <v>22</v>
      </c>
      <c r="G205" s="81">
        <f>IFERROR(__xludf.DUMMYFUNCTION("IMPORTRANGE(""https://docs.google.com/spreadsheets/d/1bozxp9FwhaCNzy-RRGPVPfVYTttO4PUGDdaFvbz-Ue0/edit?gid=1870218791#gid=1870218791"", ""Rev vs Mktg &amp; Mktg Mix!G"" &amp; ROW(G278))
"),19.861)</f>
        <v>19.861</v>
      </c>
      <c r="H205" s="54">
        <f>IFERROR(__xludf.DUMMYFUNCTION("IMPORTRANGE(""https://docs.google.com/spreadsheets/d/1bozxp9FwhaCNzy-RRGPVPfVYTttO4PUGDdaFvbz-Ue0/edit?gid=1870218791#gid=1870218791"", ""Rev vs Mktg &amp; Mktg Mix!H"" &amp; ROW(G278))
"),27.060000000000002)</f>
        <v>27.06</v>
      </c>
      <c r="I205" s="81">
        <f>IFERROR(__xludf.DUMMYFUNCTION("IMPORTRANGE(""https://docs.google.com/spreadsheets/d/1bozxp9FwhaCNzy-RRGPVPfVYTttO4PUGDdaFvbz-Ue0/edit?gid=1870218791#gid=1870218791"", ""Rev vs Mktg &amp; Mktg Mix!i"" &amp; ROW(I278))
"),5.894)</f>
        <v>5.894</v>
      </c>
      <c r="J205" s="81">
        <f>IFERROR(__xludf.DUMMYFUNCTION("IMPORTRANGE(""https://docs.google.com/spreadsheets/d/1bozxp9FwhaCNzy-RRGPVPfVYTttO4PUGDdaFvbz-Ue0/edit?gid=1870218791#gid=1870218791"", ""Rev vs Mktg &amp; Mktg Mix!J"" &amp; ROW(J278))
"),-29.493)</f>
        <v>-29.493</v>
      </c>
      <c r="K205" s="45"/>
      <c r="L205" s="81">
        <f>IFERROR(__xludf.DUMMYFUNCTION("IMPORTRANGE(""https://docs.google.com/spreadsheets/d/1bozxp9FwhaCNzy-RRGPVPfVYTttO4PUGDdaFvbz-Ue0/edit?gid=1870218791#gid=1870218791"", ""Rev vs Mktg &amp; Mktg Mix!L"" &amp; ROW(N278))
"),-1.0885733880000021)</f>
        <v>-1.088573388</v>
      </c>
      <c r="M205" s="43"/>
      <c r="N205" s="81">
        <f>IFERROR(__xludf.DUMMYFUNCTION("IMPORTRANGE(""https://docs.google.com/spreadsheets/d/1bozxp9FwhaCNzy-RRGPVPfVYTttO4PUGDdaFvbz-Ue0/edit?gid=1870218791#gid=1870218791"", ""Rev vs Mktg &amp; Mktg Mix!N"" &amp; ROW(N278))
"),0.0944)</f>
        <v>0.0944</v>
      </c>
      <c r="O205" s="57">
        <f>IFERROR(__xludf.DUMMYFUNCTION("IMPORTRANGE(""https://docs.google.com/spreadsheets/d/1bozxp9FwhaCNzy-RRGPVPfVYTttO4PUGDdaFvbz-Ue0/edit?gid=1870218791#gid=1870218791"", ""Rev vs Mktg &amp; Mktg Mix!O"" &amp; ROW(O278))
"),10.7575)</f>
        <v>10.7575</v>
      </c>
      <c r="P205" s="57" t="str">
        <f>IFERROR(__xludf.DUMMYFUNCTION("IMPORTRANGE(""https://docs.google.com/spreadsheets/d/1bozxp9FwhaCNzy-RRGPVPfVYTttO4PUGDdaFvbz-Ue0/edit?gid=1870218791#gid=1870218791"", ""Rev vs Mktg &amp; Mktg Mix!P"" &amp; ROW(P278))
"),"")</f>
        <v/>
      </c>
      <c r="Q205" s="43"/>
      <c r="R205" s="45"/>
      <c r="S205" s="45">
        <f>VLOOKUP(VALUE(LEFT(A205, 4)), 'Raw Annual EBITDA'!A:S, 19, FALSE) / 4</f>
        <v>7915</v>
      </c>
      <c r="T205" s="45">
        <f>VLOOKUP(VALUE(LEFT(A208, 4)), 'Raw Annual EBITDA'!A:T, 20, FALSE) / 4</f>
        <v>1205.75</v>
      </c>
      <c r="U205" s="82" t="str">
        <f>IFERROR(__xludf.DUMMYFUNCTION("IMPORTRANGE(""https://docs.google.com/spreadsheets/d/1bozxp9FwhaCNzy-RRGPVPfVYTttO4PUGDdaFvbz-Ue0/edit?gid=1870218791#gid=1870218791"", ""Rev vs Mktg &amp; Mktg Mix!u"" &amp; ROW(Z278))
"),"")</f>
        <v/>
      </c>
      <c r="V205" s="45"/>
      <c r="W205" s="43"/>
      <c r="X205" s="45">
        <f>VLOOKUP(VALUE(LEFT($A207, 4)), 'Raw Annual EBITDA'!$A:X, 24, FALSE) / 4
</f>
        <v>84188</v>
      </c>
      <c r="Y205" s="45">
        <f>VLOOKUP(VALUE(LEFT($A205, 4)), 'Raw Annual EBITDA'!$A:Y, 25, FALSE) / 4</f>
        <v>13646.07556</v>
      </c>
      <c r="Z205" s="45">
        <f>VLOOKUP(VALUE(LEFT($A205, 4)), 'Raw Annual EBITDA'!$A:Z, 26, FALSE) / 4</f>
        <v>3182.25</v>
      </c>
      <c r="AA205" s="45">
        <f>VLOOKUP(VALUE(LEFT($A205, 4)), 'Raw Annual EBITDA'!$A:AA, 27, FALSE) / 4</f>
        <v>2352.75</v>
      </c>
      <c r="AB205" s="45">
        <f>VLOOKUP(VALUE(LEFT($A205, 4)), 'Raw Annual EBITDA'!$A:AB, 28, FALSE) / 4</f>
        <v>-365.75</v>
      </c>
      <c r="AC205" s="45">
        <f>VLOOKUP(VALUE(LEFT($A205, 4)), 'Raw Annual EBITDA'!$A:AC, 29, FALSE) / 4</f>
        <v>-48086.5</v>
      </c>
      <c r="AD205" s="43"/>
    </row>
    <row r="206">
      <c r="A206" s="42" t="s">
        <v>118</v>
      </c>
      <c r="B206" s="50">
        <f>VLOOKUP(VALUE(LEFT(A206, 4)), 'Raw Annual EBITDA'!A:B, 2, FALSE) / 4
</f>
        <v>-95870.25</v>
      </c>
      <c r="C206" s="80">
        <f>IFERROR(__xludf.DUMMYFUNCTION("IMPORTRANGE(""https://docs.google.com/spreadsheets/d/1bozxp9FwhaCNzy-RRGPVPfVYTttO4PUGDdaFvbz-Ue0/edit?gid=1870218791#gid=1870218791"", ""Rev vs Mktg &amp; Mktg Mix!C"" &amp; ROW(C279))
"),968.0)</f>
        <v>968</v>
      </c>
      <c r="D206" s="80">
        <f>IFERROR(__xludf.DUMMYFUNCTION("IMPORTRANGE(""https://docs.google.com/spreadsheets/d/1bozxp9FwhaCNzy-RRGPVPfVYTttO4PUGDdaFvbz-Ue0/edit?gid=1870218791#gid=1870218791"", ""Rev vs Mktg &amp; Mktg Mix!D"" &amp; ROW(D279))
"),-141.0)</f>
        <v>-141</v>
      </c>
      <c r="E206" s="80">
        <f>IFERROR(__xludf.DUMMYFUNCTION("IMPORTRANGE(""https://docs.google.com/spreadsheets/d/1bozxp9FwhaCNzy-RRGPVPfVYTttO4PUGDdaFvbz-Ue0/edit?gid=1870218791#gid=1870218791"", ""Rev vs Mktg &amp; Mktg Mix!E"" &amp; ROW(E279))
"),827.0)</f>
        <v>827</v>
      </c>
      <c r="F206" s="80">
        <f>IFERROR(__xludf.DUMMYFUNCTION("IMPORTRANGE(""https://docs.google.com/spreadsheets/d/1bozxp9FwhaCNzy-RRGPVPfVYTttO4PUGDdaFvbz-Ue0/edit?gid=1870218791#gid=1870218791"", ""Rev vs Mktg &amp; Mktg Mix!F"" &amp; ROW(F279))
"),33.0)</f>
        <v>33</v>
      </c>
      <c r="G206" s="81">
        <f>IFERROR(__xludf.DUMMYFUNCTION("IMPORTRANGE(""https://docs.google.com/spreadsheets/d/1bozxp9FwhaCNzy-RRGPVPfVYTttO4PUGDdaFvbz-Ue0/edit?gid=1870218791#gid=1870218791"", ""Rev vs Mktg &amp; Mktg Mix!G"" &amp; ROW(G279))
"),13.3)</f>
        <v>13.3</v>
      </c>
      <c r="H206" s="54">
        <f>IFERROR(__xludf.DUMMYFUNCTION("IMPORTRANGE(""https://docs.google.com/spreadsheets/d/1bozxp9FwhaCNzy-RRGPVPfVYTttO4PUGDdaFvbz-Ue0/edit?gid=1870218791#gid=1870218791"", ""Rev vs Mktg &amp; Mktg Mix!H"" &amp; ROW(G279))
"),44.440000000000005)</f>
        <v>44.44</v>
      </c>
      <c r="I206" s="81">
        <f>IFERROR(__xludf.DUMMYFUNCTION("IMPORTRANGE(""https://docs.google.com/spreadsheets/d/1bozxp9FwhaCNzy-RRGPVPfVYTttO4PUGDdaFvbz-Ue0/edit?gid=1870218791#gid=1870218791"", ""Rev vs Mktg &amp; Mktg Mix!i"" &amp; ROW(I279))
"),2.4)</f>
        <v>2.4</v>
      </c>
      <c r="J206" s="81">
        <f>IFERROR(__xludf.DUMMYFUNCTION("IMPORTRANGE(""https://docs.google.com/spreadsheets/d/1bozxp9FwhaCNzy-RRGPVPfVYTttO4PUGDdaFvbz-Ue0/edit?gid=1870218791#gid=1870218791"", ""Rev vs Mktg &amp; Mktg Mix!J"" &amp; ROW(J279))
"),-40.939)</f>
        <v>-40.939</v>
      </c>
      <c r="K206" s="45"/>
      <c r="L206" s="81">
        <f>IFERROR(__xludf.DUMMYFUNCTION("IMPORTRANGE(""https://docs.google.com/spreadsheets/d/1bozxp9FwhaCNzy-RRGPVPfVYTttO4PUGDdaFvbz-Ue0/edit?gid=1870218791#gid=1870218791"", ""Rev vs Mktg &amp; Mktg Mix!L"" &amp; ROW(N279))
"),15.727832399999999)</f>
        <v>15.7278324</v>
      </c>
      <c r="M206" s="43"/>
      <c r="N206" s="81">
        <f>IFERROR(__xludf.DUMMYFUNCTION("IMPORTRANGE(""https://docs.google.com/spreadsheets/d/1bozxp9FwhaCNzy-RRGPVPfVYTttO4PUGDdaFvbz-Ue0/edit?gid=1870218791#gid=1870218791"", ""Rev vs Mktg &amp; Mktg Mix!N"" &amp; ROW(N279))
"),-0.1523)</f>
        <v>-0.1523</v>
      </c>
      <c r="O206" s="57">
        <f>IFERROR(__xludf.DUMMYFUNCTION("IMPORTRANGE(""https://docs.google.com/spreadsheets/d/1bozxp9FwhaCNzy-RRGPVPfVYTttO4PUGDdaFvbz-Ue0/edit?gid=1870218791#gid=1870218791"", ""Rev vs Mktg &amp; Mktg Mix!O"" &amp; ROW(O279))
"),13.520000000000001)</f>
        <v>13.52</v>
      </c>
      <c r="P206" s="57" t="str">
        <f>IFERROR(__xludf.DUMMYFUNCTION("IMPORTRANGE(""https://docs.google.com/spreadsheets/d/1bozxp9FwhaCNzy-RRGPVPfVYTttO4PUGDdaFvbz-Ue0/edit?gid=1870218791#gid=1870218791"", ""Rev vs Mktg &amp; Mktg Mix!P"" &amp; ROW(P279))
"),"")</f>
        <v/>
      </c>
      <c r="Q206" s="43"/>
      <c r="R206" s="45"/>
      <c r="S206" s="45">
        <f>VLOOKUP(VALUE(LEFT(A206, 4)), 'Raw Annual EBITDA'!A:S, 19, FALSE) / 4</f>
        <v>15550.75</v>
      </c>
      <c r="T206" s="45">
        <f>VLOOKUP(VALUE(LEFT(A209, 4)), 'Raw Annual EBITDA'!A:T, 20, FALSE) / 4</f>
        <v>1205.75</v>
      </c>
      <c r="U206" s="82">
        <f>IFERROR(__xludf.DUMMYFUNCTION("IMPORTRANGE(""https://docs.google.com/spreadsheets/d/1bozxp9FwhaCNzy-RRGPVPfVYTttO4PUGDdaFvbz-Ue0/edit?gid=1870218791#gid=1870218791"", ""Rev vs Mktg &amp; Mktg Mix!u"" &amp; ROW(Z279))
"),-12.385)</f>
        <v>-12.385</v>
      </c>
      <c r="V206" s="45"/>
      <c r="W206" s="43"/>
      <c r="X206" s="45">
        <f>VLOOKUP(VALUE(LEFT($A208, 4)), 'Raw Annual EBITDA'!$A:X, 24, FALSE) / 4
</f>
        <v>84188</v>
      </c>
      <c r="Y206" s="45">
        <f>VLOOKUP(VALUE(LEFT($A206, 4)), 'Raw Annual EBITDA'!$A:Y, 25, FALSE) / 4</f>
        <v>15950.4954</v>
      </c>
      <c r="Z206" s="45">
        <f>VLOOKUP(VALUE(LEFT($A206, 4)), 'Raw Annual EBITDA'!$A:Z, 26, FALSE) / 4</f>
        <v>7047.75</v>
      </c>
      <c r="AA206" s="45">
        <f>VLOOKUP(VALUE(LEFT($A206, 4)), 'Raw Annual EBITDA'!$A:AA, 27, FALSE) / 4</f>
        <v>-313.75</v>
      </c>
      <c r="AB206" s="45">
        <f>VLOOKUP(VALUE(LEFT($A206, 4)), 'Raw Annual EBITDA'!$A:AB, 28, FALSE) / 4</f>
        <v>-8.25</v>
      </c>
      <c r="AC206" s="45">
        <f>VLOOKUP(VALUE(LEFT($A206, 4)), 'Raw Annual EBITDA'!$A:AC, 29, FALSE) / 4</f>
        <v>-64277.25</v>
      </c>
      <c r="AD206" s="43"/>
    </row>
    <row r="207">
      <c r="A207" s="42" t="s">
        <v>119</v>
      </c>
      <c r="B207" s="50">
        <f>VLOOKUP(VALUE(LEFT(A207, 4)), 'Raw Annual EBITDA'!A:B, 2, FALSE) / 4
</f>
        <v>-95870.25</v>
      </c>
      <c r="C207" s="80">
        <f>IFERROR(__xludf.DUMMYFUNCTION("IMPORTRANGE(""https://docs.google.com/spreadsheets/d/1bozxp9FwhaCNzy-RRGPVPfVYTttO4PUGDdaFvbz-Ue0/edit?gid=1870218791#gid=1870218791"", ""Rev vs Mktg &amp; Mktg Mix!C"" &amp; ROW(C280))
"),1207.0)</f>
        <v>1207</v>
      </c>
      <c r="D207" s="80">
        <f>IFERROR(__xludf.DUMMYFUNCTION("IMPORTRANGE(""https://docs.google.com/spreadsheets/d/1bozxp9FwhaCNzy-RRGPVPfVYTttO4PUGDdaFvbz-Ue0/edit?gid=1870218791#gid=1870218791"", ""Rev vs Mktg &amp; Mktg Mix!D"" &amp; ROW(D280))
"),235.0)</f>
        <v>235</v>
      </c>
      <c r="E207" s="80">
        <f>IFERROR(__xludf.DUMMYFUNCTION("IMPORTRANGE(""https://docs.google.com/spreadsheets/d/1bozxp9FwhaCNzy-RRGPVPfVYTttO4PUGDdaFvbz-Ue0/edit?gid=1870218791#gid=1870218791"", ""Rev vs Mktg &amp; Mktg Mix!E"" &amp; ROW(E280))
"),8.0)</f>
        <v>8</v>
      </c>
      <c r="F207" s="80">
        <f>IFERROR(__xludf.DUMMYFUNCTION("IMPORTRANGE(""https://docs.google.com/spreadsheets/d/1bozxp9FwhaCNzy-RRGPVPfVYTttO4PUGDdaFvbz-Ue0/edit?gid=1870218791#gid=1870218791"", ""Rev vs Mktg &amp; Mktg Mix!F"" &amp; ROW(F280))
"),68.0)</f>
        <v>68</v>
      </c>
      <c r="G207" s="81">
        <f>IFERROR(__xludf.DUMMYFUNCTION("IMPORTRANGE(""https://docs.google.com/spreadsheets/d/1bozxp9FwhaCNzy-RRGPVPfVYTttO4PUGDdaFvbz-Ue0/edit?gid=1870218791#gid=1870218791"", ""Rev vs Mktg &amp; Mktg Mix!G"" &amp; ROW(G280))
"),10.8)</f>
        <v>10.8</v>
      </c>
      <c r="H207" s="54">
        <f>IFERROR(__xludf.DUMMYFUNCTION("IMPORTRANGE(""https://docs.google.com/spreadsheets/d/1bozxp9FwhaCNzy-RRGPVPfVYTttO4PUGDdaFvbz-Ue0/edit?gid=1870218791#gid=1870218791"", ""Rev vs Mktg &amp; Mktg Mix!H"" &amp; ROW(G280))
"),21.34)</f>
        <v>21.34</v>
      </c>
      <c r="I207" s="81">
        <f>IFERROR(__xludf.DUMMYFUNCTION("IMPORTRANGE(""https://docs.google.com/spreadsheets/d/1bozxp9FwhaCNzy-RRGPVPfVYTttO4PUGDdaFvbz-Ue0/edit?gid=1870218791#gid=1870218791"", ""Rev vs Mktg &amp; Mktg Mix!i"" &amp; ROW(I280))
"),-18.0)</f>
        <v>-18</v>
      </c>
      <c r="J207" s="81">
        <f>IFERROR(__xludf.DUMMYFUNCTION("IMPORTRANGE(""https://docs.google.com/spreadsheets/d/1bozxp9FwhaCNzy-RRGPVPfVYTttO4PUGDdaFvbz-Ue0/edit?gid=1870218791#gid=1870218791"", ""Rev vs Mktg &amp; Mktg Mix!J"" &amp; ROW(J280))
"),-42.624)</f>
        <v>-42.624</v>
      </c>
      <c r="K207" s="45"/>
      <c r="L207" s="81">
        <f>IFERROR(__xludf.DUMMYFUNCTION("IMPORTRANGE(""https://docs.google.com/spreadsheets/d/1bozxp9FwhaCNzy-RRGPVPfVYTttO4PUGDdaFvbz-Ue0/edit?gid=1870218791#gid=1870218791"", ""Rev vs Mktg &amp; Mktg Mix!L"" &amp; ROW(N280))
"),19.7912736)</f>
        <v>19.7912736</v>
      </c>
      <c r="M207" s="43"/>
      <c r="N207" s="81">
        <f>IFERROR(__xludf.DUMMYFUNCTION("IMPORTRANGE(""https://docs.google.com/spreadsheets/d/1bozxp9FwhaCNzy-RRGPVPfVYTttO4PUGDdaFvbz-Ue0/edit?gid=1870218791#gid=1870218791"", ""Rev vs Mktg &amp; Mktg Mix!N"" &amp; ROW(N280))
"),-0.0932)</f>
        <v>-0.0932</v>
      </c>
      <c r="O207" s="57">
        <f>IFERROR(__xludf.DUMMYFUNCTION("IMPORTRANGE(""https://docs.google.com/spreadsheets/d/1bozxp9FwhaCNzy-RRGPVPfVYTttO4PUGDdaFvbz-Ue0/edit?gid=1870218791#gid=1870218791"", ""Rev vs Mktg &amp; Mktg Mix!O"" &amp; ROW(O280))
"),13.520000000000001)</f>
        <v>13.52</v>
      </c>
      <c r="P207" s="57" t="str">
        <f>IFERROR(__xludf.DUMMYFUNCTION("IMPORTRANGE(""https://docs.google.com/spreadsheets/d/1bozxp9FwhaCNzy-RRGPVPfVYTttO4PUGDdaFvbz-Ue0/edit?gid=1870218791#gid=1870218791"", ""Rev vs Mktg &amp; Mktg Mix!P"" &amp; ROW(P280))
"),"")</f>
        <v/>
      </c>
      <c r="Q207" s="43"/>
      <c r="R207" s="45"/>
      <c r="S207" s="45">
        <f>VLOOKUP(VALUE(LEFT(A207, 4)), 'Raw Annual EBITDA'!A:S, 19, FALSE) / 4</f>
        <v>15550.75</v>
      </c>
      <c r="T207" s="45">
        <f>VLOOKUP(VALUE(LEFT(A210, 4)), 'Raw Annual EBITDA'!A:T, 20, FALSE) / 4</f>
        <v>1484.5</v>
      </c>
      <c r="U207" s="82">
        <f>IFERROR(__xludf.DUMMYFUNCTION("IMPORTRANGE(""https://docs.google.com/spreadsheets/d/1bozxp9FwhaCNzy-RRGPVPfVYTttO4PUGDdaFvbz-Ue0/edit?gid=1870218791#gid=1870218791"", ""Rev vs Mktg &amp; Mktg Mix!u"" &amp; ROW(Z280))
"),-5.084)</f>
        <v>-5.084</v>
      </c>
      <c r="V207" s="45"/>
      <c r="W207" s="43"/>
      <c r="X207" s="45">
        <f>VLOOKUP(VALUE(LEFT($A209, 4)), 'Raw Annual EBITDA'!$A:X, 24, FALSE) / 4
</f>
        <v>84188</v>
      </c>
      <c r="Y207" s="45">
        <f>VLOOKUP(VALUE(LEFT($A207, 4)), 'Raw Annual EBITDA'!$A:Y, 25, FALSE) / 4</f>
        <v>15950.4954</v>
      </c>
      <c r="Z207" s="45">
        <f>VLOOKUP(VALUE(LEFT($A207, 4)), 'Raw Annual EBITDA'!$A:Z, 26, FALSE) / 4</f>
        <v>7047.75</v>
      </c>
      <c r="AA207" s="45">
        <f>VLOOKUP(VALUE(LEFT($A207, 4)), 'Raw Annual EBITDA'!$A:AA, 27, FALSE) / 4</f>
        <v>-313.75</v>
      </c>
      <c r="AB207" s="45">
        <f>VLOOKUP(VALUE(LEFT($A207, 4)), 'Raw Annual EBITDA'!$A:AB, 28, FALSE) / 4</f>
        <v>-8.25</v>
      </c>
      <c r="AC207" s="45">
        <f>VLOOKUP(VALUE(LEFT($A207, 4)), 'Raw Annual EBITDA'!$A:AC, 29, FALSE) / 4</f>
        <v>-64277.25</v>
      </c>
      <c r="AD207" s="43"/>
    </row>
    <row r="208">
      <c r="A208" s="42" t="s">
        <v>120</v>
      </c>
      <c r="B208" s="50">
        <f>VLOOKUP(VALUE(LEFT(A208, 4)), 'Raw Annual EBITDA'!A:B, 2, FALSE) / 4
</f>
        <v>-95870.25</v>
      </c>
      <c r="C208" s="80">
        <f>IFERROR(__xludf.DUMMYFUNCTION("IMPORTRANGE(""https://docs.google.com/spreadsheets/d/1bozxp9FwhaCNzy-RRGPVPfVYTttO4PUGDdaFvbz-Ue0/edit?gid=1870218791#gid=1870218791"", ""Rev vs Mktg &amp; Mktg Mix!C"" &amp; ROW(C281))
"),2363.0)</f>
        <v>2363</v>
      </c>
      <c r="D208" s="80">
        <f>IFERROR(__xludf.DUMMYFUNCTION("IMPORTRANGE(""https://docs.google.com/spreadsheets/d/1bozxp9FwhaCNzy-RRGPVPfVYTttO4PUGDdaFvbz-Ue0/edit?gid=1870218791#gid=1870218791"", ""Rev vs Mktg &amp; Mktg Mix!D"" &amp; ROW(D281))
"),900.0)</f>
        <v>900</v>
      </c>
      <c r="E208" s="80">
        <f>IFERROR(__xludf.DUMMYFUNCTION("IMPORTRANGE(""https://docs.google.com/spreadsheets/d/1bozxp9FwhaCNzy-RRGPVPfVYTttO4PUGDdaFvbz-Ue0/edit?gid=1870218791#gid=1870218791"", ""Rev vs Mktg &amp; Mktg Mix!E"" &amp; ROW(E281))
"),137.0)</f>
        <v>137</v>
      </c>
      <c r="F208" s="80">
        <f>IFERROR(__xludf.DUMMYFUNCTION("IMPORTRANGE(""https://docs.google.com/spreadsheets/d/1bozxp9FwhaCNzy-RRGPVPfVYTttO4PUGDdaFvbz-Ue0/edit?gid=1870218791#gid=1870218791"", ""Rev vs Mktg &amp; Mktg Mix!F"" &amp; ROW(F281))
"),73.0)</f>
        <v>73</v>
      </c>
      <c r="G208" s="81">
        <f>IFERROR(__xludf.DUMMYFUNCTION("IMPORTRANGE(""https://docs.google.com/spreadsheets/d/1bozxp9FwhaCNzy-RRGPVPfVYTttO4PUGDdaFvbz-Ue0/edit?gid=1870218791#gid=1870218791"", ""Rev vs Mktg &amp; Mktg Mix!G"" &amp; ROW(G281))
"),2.6)</f>
        <v>2.6</v>
      </c>
      <c r="H208" s="54">
        <f>IFERROR(__xludf.DUMMYFUNCTION("IMPORTRANGE(""https://docs.google.com/spreadsheets/d/1bozxp9FwhaCNzy-RRGPVPfVYTttO4PUGDdaFvbz-Ue0/edit?gid=1870218791#gid=1870218791"", ""Rev vs Mktg &amp; Mktg Mix!H"" &amp; ROW(G281))
"),30.360000000000003)</f>
        <v>30.36</v>
      </c>
      <c r="I208" s="81">
        <f>IFERROR(__xludf.DUMMYFUNCTION("IMPORTRANGE(""https://docs.google.com/spreadsheets/d/1bozxp9FwhaCNzy-RRGPVPfVYTttO4PUGDdaFvbz-Ue0/edit?gid=1870218791#gid=1870218791"", ""Rev vs Mktg &amp; Mktg Mix!i"" &amp; ROW(I281))
"),-3.8)</f>
        <v>-3.8</v>
      </c>
      <c r="J208" s="81">
        <f>IFERROR(__xludf.DUMMYFUNCTION("IMPORTRANGE(""https://docs.google.com/spreadsheets/d/1bozxp9FwhaCNzy-RRGPVPfVYTttO4PUGDdaFvbz-Ue0/edit?gid=1870218791#gid=1870218791"", ""Rev vs Mktg &amp; Mktg Mix!J"" &amp; ROW(J281))
"),-36.597)</f>
        <v>-36.597</v>
      </c>
      <c r="K208" s="45"/>
      <c r="L208" s="81">
        <f>IFERROR(__xludf.DUMMYFUNCTION("IMPORTRANGE(""https://docs.google.com/spreadsheets/d/1bozxp9FwhaCNzy-RRGPVPfVYTttO4PUGDdaFvbz-Ue0/edit?gid=1870218791#gid=1870218791"", ""Rev vs Mktg &amp; Mktg Mix!L"" &amp; ROW(N281))
"),19.361353199999996)</f>
        <v>19.3613532</v>
      </c>
      <c r="M208" s="43"/>
      <c r="N208" s="81">
        <f>IFERROR(__xludf.DUMMYFUNCTION("IMPORTRANGE(""https://docs.google.com/spreadsheets/d/1bozxp9FwhaCNzy-RRGPVPfVYTttO4PUGDdaFvbz-Ue0/edit?gid=1870218791#gid=1870218791"", ""Rev vs Mktg &amp; Mktg Mix!N"" &amp; ROW(N281))
"),0.2534)</f>
        <v>0.2534</v>
      </c>
      <c r="O208" s="57">
        <f>IFERROR(__xludf.DUMMYFUNCTION("IMPORTRANGE(""https://docs.google.com/spreadsheets/d/1bozxp9FwhaCNzy-RRGPVPfVYTttO4PUGDdaFvbz-Ue0/edit?gid=1870218791#gid=1870218791"", ""Rev vs Mktg &amp; Mktg Mix!O"" &amp; ROW(O281))
"),3.9325)</f>
        <v>3.9325</v>
      </c>
      <c r="P208" s="57" t="str">
        <f>IFERROR(__xludf.DUMMYFUNCTION("IMPORTRANGE(""https://docs.google.com/spreadsheets/d/1bozxp9FwhaCNzy-RRGPVPfVYTttO4PUGDdaFvbz-Ue0/edit?gid=1870218791#gid=1870218791"", ""Rev vs Mktg &amp; Mktg Mix!P"" &amp; ROW(P281))
"),"")</f>
        <v/>
      </c>
      <c r="Q208" s="43"/>
      <c r="R208" s="45"/>
      <c r="S208" s="45">
        <f>VLOOKUP(VALUE(LEFT(A208, 4)), 'Raw Annual EBITDA'!A:S, 19, FALSE) / 4</f>
        <v>15550.75</v>
      </c>
      <c r="T208" s="45">
        <f>VLOOKUP(VALUE(LEFT(A211, 4)), 'Raw Annual EBITDA'!A:T, 20, FALSE) / 4</f>
        <v>1484.5</v>
      </c>
      <c r="U208" s="82">
        <f>IFERROR(__xludf.DUMMYFUNCTION("IMPORTRANGE(""https://docs.google.com/spreadsheets/d/1bozxp9FwhaCNzy-RRGPVPfVYTttO4PUGDdaFvbz-Ue0/edit?gid=1870218791#gid=1870218791"", ""Rev vs Mktg &amp; Mktg Mix!u"" &amp; ROW(Z281))
"),-5.542)</f>
        <v>-5.542</v>
      </c>
      <c r="V208" s="45"/>
      <c r="W208" s="43"/>
      <c r="X208" s="45">
        <f>VLOOKUP(VALUE(LEFT($A210, 4)), 'Raw Annual EBITDA'!$A:X, 24, FALSE) / 4
</f>
        <v>78246.5</v>
      </c>
      <c r="Y208" s="45">
        <f>VLOOKUP(VALUE(LEFT($A208, 4)), 'Raw Annual EBITDA'!$A:Y, 25, FALSE) / 4</f>
        <v>15950.4954</v>
      </c>
      <c r="Z208" s="45">
        <f>VLOOKUP(VALUE(LEFT($A208, 4)), 'Raw Annual EBITDA'!$A:Z, 26, FALSE) / 4</f>
        <v>7047.75</v>
      </c>
      <c r="AA208" s="45">
        <f>VLOOKUP(VALUE(LEFT($A208, 4)), 'Raw Annual EBITDA'!$A:AA, 27, FALSE) / 4</f>
        <v>-313.75</v>
      </c>
      <c r="AB208" s="45">
        <f>VLOOKUP(VALUE(LEFT($A208, 4)), 'Raw Annual EBITDA'!$A:AB, 28, FALSE) / 4</f>
        <v>-8.25</v>
      </c>
      <c r="AC208" s="45">
        <f>VLOOKUP(VALUE(LEFT($A208, 4)), 'Raw Annual EBITDA'!$A:AC, 29, FALSE) / 4</f>
        <v>-64277.25</v>
      </c>
      <c r="AD208" s="43"/>
    </row>
    <row r="209">
      <c r="A209" s="42" t="s">
        <v>121</v>
      </c>
      <c r="B209" s="51">
        <f>IFERROR(__xludf.DUMMYFUNCTION("IMPORTRANGE(""https://docs.google.com/spreadsheets/d/1bozxp9FwhaCNzy-RRGPVPfVYTttO4PUGDdaFvbz-Ue0/edit?gid=1870218791#gid=1870218791"", ""Rev vs Mktg &amp; Mktg Mix!B"" &amp; ROW(B282))
"),-342.0)</f>
        <v>-342</v>
      </c>
      <c r="C209" s="80">
        <f>IFERROR(__xludf.DUMMYFUNCTION("IMPORTRANGE(""https://docs.google.com/spreadsheets/d/1bozxp9FwhaCNzy-RRGPVPfVYTttO4PUGDdaFvbz-Ue0/edit?gid=1870218791#gid=1870218791"", ""Rev vs Mktg &amp; Mktg Mix!C"" &amp; ROW(C282))
"),1420.0)</f>
        <v>1420</v>
      </c>
      <c r="D209" s="80">
        <f>IFERROR(__xludf.DUMMYFUNCTION("IMPORTRANGE(""https://docs.google.com/spreadsheets/d/1bozxp9FwhaCNzy-RRGPVPfVYTttO4PUGDdaFvbz-Ue0/edit?gid=1870218791#gid=1870218791"", ""Rev vs Mktg &amp; Mktg Mix!D"" &amp; ROW(D282))
"),449.0)</f>
        <v>449</v>
      </c>
      <c r="E209" s="80">
        <f>IFERROR(__xludf.DUMMYFUNCTION("IMPORTRANGE(""https://docs.google.com/spreadsheets/d/1bozxp9FwhaCNzy-RRGPVPfVYTttO4PUGDdaFvbz-Ue0/edit?gid=1870218791#gid=1870218791"", ""Rev vs Mktg &amp; Mktg Mix!E"" &amp; ROW(E282))
"),332.0)</f>
        <v>332</v>
      </c>
      <c r="F209" s="80">
        <f>IFERROR(__xludf.DUMMYFUNCTION("IMPORTRANGE(""https://docs.google.com/spreadsheets/d/1bozxp9FwhaCNzy-RRGPVPfVYTttO4PUGDdaFvbz-Ue0/edit?gid=1870218791#gid=1870218791"", ""Rev vs Mktg &amp; Mktg Mix!F"" &amp; ROW(F282))
"),20.0)</f>
        <v>20</v>
      </c>
      <c r="G209" s="81">
        <f>IFERROR(__xludf.DUMMYFUNCTION("IMPORTRANGE(""https://docs.google.com/spreadsheets/d/1bozxp9FwhaCNzy-RRGPVPfVYTttO4PUGDdaFvbz-Ue0/edit?gid=1870218791#gid=1870218791"", ""Rev vs Mktg &amp; Mktg Mix!G"" &amp; ROW(G282))
"),10.966)</f>
        <v>10.966</v>
      </c>
      <c r="H209" s="54">
        <f>IFERROR(__xludf.DUMMYFUNCTION("IMPORTRANGE(""https://docs.google.com/spreadsheets/d/1bozxp9FwhaCNzy-RRGPVPfVYTttO4PUGDdaFvbz-Ue0/edit?gid=1870218791#gid=1870218791"", ""Rev vs Mktg &amp; Mktg Mix!H"" &amp; ROW(G282))
"),28.380000000000003)</f>
        <v>28.38</v>
      </c>
      <c r="I209" s="81">
        <f>IFERROR(__xludf.DUMMYFUNCTION("IMPORTRANGE(""https://docs.google.com/spreadsheets/d/1bozxp9FwhaCNzy-RRGPVPfVYTttO4PUGDdaFvbz-Ue0/edit?gid=1870218791#gid=1870218791"", ""Rev vs Mktg &amp; Mktg Mix!i"" &amp; ROW(I282))
"),-6.7)</f>
        <v>-6.7</v>
      </c>
      <c r="J209" s="81">
        <f>IFERROR(__xludf.DUMMYFUNCTION("IMPORTRANGE(""https://docs.google.com/spreadsheets/d/1bozxp9FwhaCNzy-RRGPVPfVYTttO4PUGDdaFvbz-Ue0/edit?gid=1870218791#gid=1870218791"", ""Rev vs Mktg &amp; Mktg Mix!J"" &amp; ROW(J282))
"),-29.599)</f>
        <v>-29.599</v>
      </c>
      <c r="K209" s="45"/>
      <c r="L209" s="81">
        <f>IFERROR(__xludf.DUMMYFUNCTION("IMPORTRANGE(""https://docs.google.com/spreadsheets/d/1bozxp9FwhaCNzy-RRGPVPfVYTttO4PUGDdaFvbz-Ue0/edit?gid=1870218791#gid=1870218791"", ""Rev vs Mktg &amp; Mktg Mix!L"" &amp; ROW(N282))
"),2.741676)</f>
        <v>2.741676</v>
      </c>
      <c r="M209" s="43"/>
      <c r="N209" s="81">
        <f>IFERROR(__xludf.DUMMYFUNCTION("IMPORTRANGE(""https://docs.google.com/spreadsheets/d/1bozxp9FwhaCNzy-RRGPVPfVYTttO4PUGDdaFvbz-Ue0/edit?gid=1870218791#gid=1870218791"", ""Rev vs Mktg &amp; Mktg Mix!N"" &amp; ROW(N282))
"),-0.152)</f>
        <v>-0.152</v>
      </c>
      <c r="O209" s="57">
        <f>IFERROR(__xludf.DUMMYFUNCTION("IMPORTRANGE(""https://docs.google.com/spreadsheets/d/1bozxp9FwhaCNzy-RRGPVPfVYTttO4PUGDdaFvbz-Ue0/edit?gid=1870218791#gid=1870218791"", ""Rev vs Mktg &amp; Mktg Mix!O"" &amp; ROW(O282))
"),3.9325)</f>
        <v>3.9325</v>
      </c>
      <c r="P209" s="57" t="str">
        <f>IFERROR(__xludf.DUMMYFUNCTION("IMPORTRANGE(""https://docs.google.com/spreadsheets/d/1bozxp9FwhaCNzy-RRGPVPfVYTttO4PUGDdaFvbz-Ue0/edit?gid=1870218791#gid=1870218791"", ""Rev vs Mktg &amp; Mktg Mix!P"" &amp; ROW(P282))
"),"")</f>
        <v/>
      </c>
      <c r="Q209" s="43"/>
      <c r="R209" s="45"/>
      <c r="S209" s="45">
        <f>VLOOKUP(VALUE(LEFT(A209, 4)), 'Raw Annual EBITDA'!A:S, 19, FALSE) / 4</f>
        <v>15550.75</v>
      </c>
      <c r="T209" s="45">
        <f>VLOOKUP(VALUE(LEFT(A212, 4)), 'Raw Annual EBITDA'!A:T, 20, FALSE) / 4</f>
        <v>1484.5</v>
      </c>
      <c r="U209" s="82">
        <f>IFERROR(__xludf.DUMMYFUNCTION("IMPORTRANGE(""https://docs.google.com/spreadsheets/d/1bozxp9FwhaCNzy-RRGPVPfVYTttO4PUGDdaFvbz-Ue0/edit?gid=1870218791#gid=1870218791"", ""Rev vs Mktg &amp; Mktg Mix!u"" &amp; ROW(Z282))
"),1.674)</f>
        <v>1.674</v>
      </c>
      <c r="V209" s="45"/>
      <c r="W209" s="43"/>
      <c r="X209" s="45">
        <f>VLOOKUP(VALUE(LEFT($A211, 4)), 'Raw Annual EBITDA'!$A:X, 24, FALSE) / 4
</f>
        <v>78246.5</v>
      </c>
      <c r="Y209" s="45">
        <f>VLOOKUP(VALUE(LEFT($A209, 4)), 'Raw Annual EBITDA'!$A:Y, 25, FALSE) / 4</f>
        <v>15950.4954</v>
      </c>
      <c r="Z209" s="45">
        <f>VLOOKUP(VALUE(LEFT($A209, 4)), 'Raw Annual EBITDA'!$A:Z, 26, FALSE) / 4</f>
        <v>7047.75</v>
      </c>
      <c r="AA209" s="45">
        <f>VLOOKUP(VALUE(LEFT($A209, 4)), 'Raw Annual EBITDA'!$A:AA, 27, FALSE) / 4</f>
        <v>-313.75</v>
      </c>
      <c r="AB209" s="45">
        <f>VLOOKUP(VALUE(LEFT($A209, 4)), 'Raw Annual EBITDA'!$A:AB, 28, FALSE) / 4</f>
        <v>-8.25</v>
      </c>
      <c r="AC209" s="45">
        <f>VLOOKUP(VALUE(LEFT($A209, 4)), 'Raw Annual EBITDA'!$A:AC, 29, FALSE) / 4</f>
        <v>-64277.25</v>
      </c>
      <c r="AD209" s="43"/>
    </row>
    <row r="210">
      <c r="A210" s="42" t="s">
        <v>122</v>
      </c>
      <c r="B210" s="58">
        <f>IFERROR(__xludf.DUMMYFUNCTION("IMPORTRANGE(""https://docs.google.com/spreadsheets/d/1bozxp9FwhaCNzy-RRGPVPfVYTttO4PUGDdaFvbz-Ue0/edit?gid=1870218791#gid=1870218791"", ""Rev vs Mktg &amp; Mktg Mix!B"" &amp; ROW(B283))
"),-357.09)</f>
        <v>-357.09</v>
      </c>
      <c r="C210" s="80">
        <f>IFERROR(__xludf.DUMMYFUNCTION("IMPORTRANGE(""https://docs.google.com/spreadsheets/d/1bozxp9FwhaCNzy-RRGPVPfVYTttO4PUGDdaFvbz-Ue0/edit?gid=1870218791#gid=1870218791"", ""Rev vs Mktg &amp; Mktg Mix!C"" &amp; ROW(C283))
"),-722.0)</f>
        <v>-722</v>
      </c>
      <c r="D210" s="80">
        <f>IFERROR(__xludf.DUMMYFUNCTION("IMPORTRANGE(""https://docs.google.com/spreadsheets/d/1bozxp9FwhaCNzy-RRGPVPfVYTttO4PUGDdaFvbz-Ue0/edit?gid=1870218791#gid=1870218791"", ""Rev vs Mktg &amp; Mktg Mix!D"" &amp; ROW(D283))
"),-75.0)</f>
        <v>-75</v>
      </c>
      <c r="E210" s="80">
        <f>IFERROR(__xludf.DUMMYFUNCTION("IMPORTRANGE(""https://docs.google.com/spreadsheets/d/1bozxp9FwhaCNzy-RRGPVPfVYTttO4PUGDdaFvbz-Ue0/edit?gid=1870218791#gid=1870218791"", ""Rev vs Mktg &amp; Mktg Mix!E"" &amp; ROW(E283))
"),-743.0)</f>
        <v>-743</v>
      </c>
      <c r="F210" s="80">
        <f>IFERROR(__xludf.DUMMYFUNCTION("IMPORTRANGE(""https://docs.google.com/spreadsheets/d/1bozxp9FwhaCNzy-RRGPVPfVYTttO4PUGDdaFvbz-Ue0/edit?gid=1870218791#gid=1870218791"", ""Rev vs Mktg &amp; Mktg Mix!F"" &amp; ROW(F283))
"),-27.0)</f>
        <v>-27</v>
      </c>
      <c r="G210" s="81">
        <f>IFERROR(__xludf.DUMMYFUNCTION("IMPORTRANGE(""https://docs.google.com/spreadsheets/d/1bozxp9FwhaCNzy-RRGPVPfVYTttO4PUGDdaFvbz-Ue0/edit?gid=1870218791#gid=1870218791"", ""Rev vs Mktg &amp; Mktg Mix!G"" &amp; ROW(G283))
"),-215.6)</f>
        <v>-215.6</v>
      </c>
      <c r="H210" s="54">
        <f>IFERROR(__xludf.DUMMYFUNCTION("IMPORTRANGE(""https://docs.google.com/spreadsheets/d/1bozxp9FwhaCNzy-RRGPVPfVYTttO4PUGDdaFvbz-Ue0/edit?gid=1870218791#gid=1870218791"", ""Rev vs Mktg &amp; Mktg Mix!H"" &amp; ROW(G283))
"),30.69)</f>
        <v>30.69</v>
      </c>
      <c r="I210" s="81">
        <f>IFERROR(__xludf.DUMMYFUNCTION("IMPORTRANGE(""https://docs.google.com/spreadsheets/d/1bozxp9FwhaCNzy-RRGPVPfVYTttO4PUGDdaFvbz-Ue0/edit?gid=1870218791#gid=1870218791"", ""Rev vs Mktg &amp; Mktg Mix!i"" &amp; ROW(I283))
"),-14.5)</f>
        <v>-14.5</v>
      </c>
      <c r="J210" s="81">
        <f>IFERROR(__xludf.DUMMYFUNCTION("IMPORTRANGE(""https://docs.google.com/spreadsheets/d/1bozxp9FwhaCNzy-RRGPVPfVYTttO4PUGDdaFvbz-Ue0/edit?gid=1870218791#gid=1870218791"", ""Rev vs Mktg &amp; Mktg Mix!J"" &amp; ROW(J283))
"),-338.726)</f>
        <v>-338.726</v>
      </c>
      <c r="K210" s="45"/>
      <c r="L210" s="81">
        <f>IFERROR(__xludf.DUMMYFUNCTION("IMPORTRANGE(""https://docs.google.com/spreadsheets/d/1bozxp9FwhaCNzy-RRGPVPfVYTttO4PUGDdaFvbz-Ue0/edit?gid=1870218791#gid=1870218791"", ""Rev vs Mktg &amp; Mktg Mix!L"" &amp; ROW(N283))
"),298.343955)</f>
        <v>298.343955</v>
      </c>
      <c r="M210" s="43"/>
      <c r="N210" s="81">
        <f>IFERROR(__xludf.DUMMYFUNCTION("IMPORTRANGE(""https://docs.google.com/spreadsheets/d/1bozxp9FwhaCNzy-RRGPVPfVYTttO4PUGDdaFvbz-Ue0/edit?gid=1870218791#gid=1870218791"", ""Rev vs Mktg &amp; Mktg Mix!N"" &amp; ROW(N283))
"),-2.028)</f>
        <v>-2.028</v>
      </c>
      <c r="O210" s="57">
        <f>IFERROR(__xludf.DUMMYFUNCTION("IMPORTRANGE(""https://docs.google.com/spreadsheets/d/1bozxp9FwhaCNzy-RRGPVPfVYTttO4PUGDdaFvbz-Ue0/edit?gid=1870218791#gid=1870218791"", ""Rev vs Mktg &amp; Mktg Mix!O"" &amp; ROW(O283))
"),-55.542500000000004)</f>
        <v>-55.5425</v>
      </c>
      <c r="P210" s="57" t="str">
        <f>IFERROR(__xludf.DUMMYFUNCTION("IMPORTRANGE(""https://docs.google.com/spreadsheets/d/1bozxp9FwhaCNzy-RRGPVPfVYTttO4PUGDdaFvbz-Ue0/edit?gid=1870218791#gid=1870218791"", ""Rev vs Mktg &amp; Mktg Mix!P"" &amp; ROW(P283))
"),"")</f>
        <v/>
      </c>
      <c r="Q210" s="43"/>
      <c r="R210" s="45"/>
      <c r="S210" s="45">
        <f>VLOOKUP(VALUE(LEFT(A210, 4)), 'Raw Annual EBITDA'!A:S, 19, FALSE) / 4</f>
        <v>-13781</v>
      </c>
      <c r="T210" s="45">
        <f>VLOOKUP(VALUE(LEFT(A213, 4)), 'Raw Annual EBITDA'!A:T, 20, FALSE) / 4</f>
        <v>1484.5</v>
      </c>
      <c r="U210" s="82">
        <f>IFERROR(__xludf.DUMMYFUNCTION("IMPORTRANGE(""https://docs.google.com/spreadsheets/d/1bozxp9FwhaCNzy-RRGPVPfVYTttO4PUGDdaFvbz-Ue0/edit?gid=1870218791#gid=1870218791"", ""Rev vs Mktg &amp; Mktg Mix!u"" &amp; ROW(Z283))
"),8.941780000000001)</f>
        <v>8.94178</v>
      </c>
      <c r="V210" s="45"/>
      <c r="W210" s="43"/>
      <c r="X210" s="45">
        <f>VLOOKUP(VALUE(LEFT($A212, 4)), 'Raw Annual EBITDA'!$A:X, 24, FALSE) / 4
</f>
        <v>78246.5</v>
      </c>
      <c r="Y210" s="45">
        <f>VLOOKUP(VALUE(LEFT($A210, 4)), 'Raw Annual EBITDA'!$A:Y, 25, FALSE) / 4</f>
        <v>-35207.7055</v>
      </c>
      <c r="Z210" s="45">
        <f>VLOOKUP(VALUE(LEFT($A210, 4)), 'Raw Annual EBITDA'!$A:Z, 26, FALSE) / 4</f>
        <v>-4265.5</v>
      </c>
      <c r="AA210" s="45">
        <f>VLOOKUP(VALUE(LEFT($A210, 4)), 'Raw Annual EBITDA'!$A:AA, 27, FALSE) / 4</f>
        <v>-10646</v>
      </c>
      <c r="AB210" s="45">
        <f>VLOOKUP(VALUE(LEFT($A210, 4)), 'Raw Annual EBITDA'!$A:AB, 28, FALSE) / 4</f>
        <v>-182.25</v>
      </c>
      <c r="AC210" s="45">
        <f>VLOOKUP(VALUE(LEFT($A210, 4)), 'Raw Annual EBITDA'!$A:AC, 29, FALSE) / 4</f>
        <v>-37097</v>
      </c>
      <c r="AD210" s="43"/>
    </row>
    <row r="211">
      <c r="A211" s="42" t="s">
        <v>123</v>
      </c>
      <c r="B211" s="58">
        <f>IFERROR(__xludf.DUMMYFUNCTION("IMPORTRANGE(""https://docs.google.com/spreadsheets/d/1bozxp9FwhaCNzy-RRGPVPfVYTttO4PUGDdaFvbz-Ue0/edit?gid=1870218791#gid=1870218791"", ""Rev vs Mktg &amp; Mktg Mix!B"" &amp; ROW(B284))
"),-639.398)</f>
        <v>-639.398</v>
      </c>
      <c r="C211" s="80">
        <f>IFERROR(__xludf.DUMMYFUNCTION("IMPORTRANGE(""https://docs.google.com/spreadsheets/d/1bozxp9FwhaCNzy-RRGPVPfVYTttO4PUGDdaFvbz-Ue0/edit?gid=1870218791#gid=1870218791"", ""Rev vs Mktg &amp; Mktg Mix!C"" &amp; ROW(C284))
"),209.0)</f>
        <v>209</v>
      </c>
      <c r="D211" s="80">
        <f>IFERROR(__xludf.DUMMYFUNCTION("IMPORTRANGE(""https://docs.google.com/spreadsheets/d/1bozxp9FwhaCNzy-RRGPVPfVYTttO4PUGDdaFvbz-Ue0/edit?gid=1870218791#gid=1870218791"", ""Rev vs Mktg &amp; Mktg Mix!D"" &amp; ROW(D284))
"),-420.0)</f>
        <v>-420</v>
      </c>
      <c r="E211" s="80">
        <f>IFERROR(__xludf.DUMMYFUNCTION("IMPORTRANGE(""https://docs.google.com/spreadsheets/d/1bozxp9FwhaCNzy-RRGPVPfVYTttO4PUGDdaFvbz-Ue0/edit?gid=1870218791#gid=1870218791"", ""Rev vs Mktg &amp; Mktg Mix!E"" &amp; ROW(E284))
"),173.0)</f>
        <v>173</v>
      </c>
      <c r="F211" s="80">
        <f>IFERROR(__xludf.DUMMYFUNCTION("IMPORTRANGE(""https://docs.google.com/spreadsheets/d/1bozxp9FwhaCNzy-RRGPVPfVYTttO4PUGDdaFvbz-Ue0/edit?gid=1870218791#gid=1870218791"", ""Rev vs Mktg &amp; Mktg Mix!F"" &amp; ROW(F284))
"),-179.0)</f>
        <v>-179</v>
      </c>
      <c r="G211" s="81">
        <f>IFERROR(__xludf.DUMMYFUNCTION("IMPORTRANGE(""https://docs.google.com/spreadsheets/d/1bozxp9FwhaCNzy-RRGPVPfVYTttO4PUGDdaFvbz-Ue0/edit?gid=1870218791#gid=1870218791"", ""Rev vs Mktg &amp; Mktg Mix!G"" &amp; ROW(G284))
"),-27.0)</f>
        <v>-27</v>
      </c>
      <c r="H211" s="54">
        <f>IFERROR(__xludf.DUMMYFUNCTION("IMPORTRANGE(""https://docs.google.com/spreadsheets/d/1bozxp9FwhaCNzy-RRGPVPfVYTttO4PUGDdaFvbz-Ue0/edit?gid=1870218791#gid=1870218791"", ""Rev vs Mktg &amp; Mktg Mix!H"" &amp; ROW(G284))
"),-17.16)</f>
        <v>-17.16</v>
      </c>
      <c r="I211" s="81">
        <f>IFERROR(__xludf.DUMMYFUNCTION("IMPORTRANGE(""https://docs.google.com/spreadsheets/d/1bozxp9FwhaCNzy-RRGPVPfVYTttO4PUGDdaFvbz-Ue0/edit?gid=1870218791#gid=1870218791"", ""Rev vs Mktg &amp; Mktg Mix!i"" &amp; ROW(I284))
"),-65.1)</f>
        <v>-65.1</v>
      </c>
      <c r="J211" s="81">
        <f>IFERROR(__xludf.DUMMYFUNCTION("IMPORTRANGE(""https://docs.google.com/spreadsheets/d/1bozxp9FwhaCNzy-RRGPVPfVYTttO4PUGDdaFvbz-Ue0/edit?gid=1870218791#gid=1870218791"", ""Rev vs Mktg &amp; Mktg Mix!J"" &amp; ROW(J284))
"),-34.704)</f>
        <v>-34.704</v>
      </c>
      <c r="K211" s="45"/>
      <c r="L211" s="81">
        <f>IFERROR(__xludf.DUMMYFUNCTION("IMPORTRANGE(""https://docs.google.com/spreadsheets/d/1bozxp9FwhaCNzy-RRGPVPfVYTttO4PUGDdaFvbz-Ue0/edit?gid=1870218791#gid=1870218791"", ""Rev vs Mktg &amp; Mktg Mix!L"" &amp; ROW(N284))
"),-44.0585733)</f>
        <v>-44.0585733</v>
      </c>
      <c r="M211" s="43"/>
      <c r="N211" s="81">
        <f>IFERROR(__xludf.DUMMYFUNCTION("IMPORTRANGE(""https://docs.google.com/spreadsheets/d/1bozxp9FwhaCNzy-RRGPVPfVYTttO4PUGDdaFvbz-Ue0/edit?gid=1870218791#gid=1870218791"", ""Rev vs Mktg &amp; Mktg Mix!N"" &amp; ROW(N284))
"),-5.0264)</f>
        <v>-5.0264</v>
      </c>
      <c r="O211" s="57">
        <f>IFERROR(__xludf.DUMMYFUNCTION("IMPORTRANGE(""https://docs.google.com/spreadsheets/d/1bozxp9FwhaCNzy-RRGPVPfVYTttO4PUGDdaFvbz-Ue0/edit?gid=1870218791#gid=1870218791"", ""Rev vs Mktg &amp; Mktg Mix!O"" &amp; ROW(O284))
"),-55.542500000000004)</f>
        <v>-55.5425</v>
      </c>
      <c r="P211" s="57" t="str">
        <f>IFERROR(__xludf.DUMMYFUNCTION("IMPORTRANGE(""https://docs.google.com/spreadsheets/d/1bozxp9FwhaCNzy-RRGPVPfVYTttO4PUGDdaFvbz-Ue0/edit?gid=1870218791#gid=1870218791"", ""Rev vs Mktg &amp; Mktg Mix!P"" &amp; ROW(P284))
"),"")</f>
        <v/>
      </c>
      <c r="Q211" s="43"/>
      <c r="R211" s="45"/>
      <c r="S211" s="45">
        <f>VLOOKUP(VALUE(LEFT(A211, 4)), 'Raw Annual EBITDA'!A:S, 19, FALSE) / 4</f>
        <v>-13781</v>
      </c>
      <c r="T211" s="45">
        <f>VLOOKUP(VALUE(LEFT(A214, 4)), 'Raw Annual EBITDA'!A:T, 20, FALSE) / 4</f>
        <v>2672.5</v>
      </c>
      <c r="U211" s="82">
        <f>IFERROR(__xludf.DUMMYFUNCTION("IMPORTRANGE(""https://docs.google.com/spreadsheets/d/1bozxp9FwhaCNzy-RRGPVPfVYTttO4PUGDdaFvbz-Ue0/edit?gid=1870218791#gid=1870218791"", ""Rev vs Mktg &amp; Mktg Mix!u"" &amp; ROW(Z284))
"),-1.056)</f>
        <v>-1.056</v>
      </c>
      <c r="V211" s="45"/>
      <c r="W211" s="43"/>
      <c r="X211" s="45">
        <f>VLOOKUP(VALUE(LEFT($A213, 4)), 'Raw Annual EBITDA'!$A:X, 24, FALSE) / 4
</f>
        <v>78246.5</v>
      </c>
      <c r="Y211" s="45">
        <f>VLOOKUP(VALUE(LEFT($A211, 4)), 'Raw Annual EBITDA'!$A:Y, 25, FALSE) / 4</f>
        <v>-35207.7055</v>
      </c>
      <c r="Z211" s="45">
        <f>VLOOKUP(VALUE(LEFT($A211, 4)), 'Raw Annual EBITDA'!$A:Z, 26, FALSE) / 4</f>
        <v>-4265.5</v>
      </c>
      <c r="AA211" s="45">
        <f>VLOOKUP(VALUE(LEFT($A211, 4)), 'Raw Annual EBITDA'!$A:AA, 27, FALSE) / 4</f>
        <v>-10646</v>
      </c>
      <c r="AB211" s="45">
        <f>VLOOKUP(VALUE(LEFT($A211, 4)), 'Raw Annual EBITDA'!$A:AB, 28, FALSE) / 4</f>
        <v>-182.25</v>
      </c>
      <c r="AC211" s="45">
        <f>VLOOKUP(VALUE(LEFT($A211, 4)), 'Raw Annual EBITDA'!$A:AC, 29, FALSE) / 4</f>
        <v>-37097</v>
      </c>
      <c r="AD211" s="43"/>
    </row>
    <row r="212">
      <c r="A212" s="42" t="s">
        <v>124</v>
      </c>
      <c r="B212" s="58">
        <f>IFERROR(__xludf.DUMMYFUNCTION("IMPORTRANGE(""https://docs.google.com/spreadsheets/d/1bozxp9FwhaCNzy-RRGPVPfVYTttO4PUGDdaFvbz-Ue0/edit?gid=1870218791#gid=1870218791"", ""Rev vs Mktg &amp; Mktg Mix!B"" &amp; ROW(B285))
"),307.052)</f>
        <v>307.052</v>
      </c>
      <c r="C212" s="80">
        <f>IFERROR(__xludf.DUMMYFUNCTION("IMPORTRANGE(""https://docs.google.com/spreadsheets/d/1bozxp9FwhaCNzy-RRGPVPfVYTttO4PUGDdaFvbz-Ue0/edit?gid=1870218791#gid=1870218791"", ""Rev vs Mktg &amp; Mktg Mix!C"" &amp; ROW(C285))
"),835.0)</f>
        <v>835</v>
      </c>
      <c r="D212" s="80">
        <f>IFERROR(__xludf.DUMMYFUNCTION("IMPORTRANGE(""https://docs.google.com/spreadsheets/d/1bozxp9FwhaCNzy-RRGPVPfVYTttO4PUGDdaFvbz-Ue0/edit?gid=1870218791#gid=1870218791"", ""Rev vs Mktg &amp; Mktg Mix!D"" &amp; ROW(D285))
"),297.0)</f>
        <v>297</v>
      </c>
      <c r="E212" s="80">
        <f>IFERROR(__xludf.DUMMYFUNCTION("IMPORTRANGE(""https://docs.google.com/spreadsheets/d/1bozxp9FwhaCNzy-RRGPVPfVYTttO4PUGDdaFvbz-Ue0/edit?gid=1870218791#gid=1870218791"", ""Rev vs Mktg &amp; Mktg Mix!E"" &amp; ROW(E285))
"),299.0)</f>
        <v>299</v>
      </c>
      <c r="F212" s="80">
        <f>IFERROR(__xludf.DUMMYFUNCTION("IMPORTRANGE(""https://docs.google.com/spreadsheets/d/1bozxp9FwhaCNzy-RRGPVPfVYTttO4PUGDdaFvbz-Ue0/edit?gid=1870218791#gid=1870218791"", ""Rev vs Mktg &amp; Mktg Mix!F"" &amp; ROW(F285))
"),-58.0)</f>
        <v>-58</v>
      </c>
      <c r="G212" s="81">
        <f>IFERROR(__xludf.DUMMYFUNCTION("IMPORTRANGE(""https://docs.google.com/spreadsheets/d/1bozxp9FwhaCNzy-RRGPVPfVYTttO4PUGDdaFvbz-Ue0/edit?gid=1870218791#gid=1870218791"", ""Rev vs Mktg &amp; Mktg Mix!G"" &amp; ROW(G285))
"),-1.8)</f>
        <v>-1.8</v>
      </c>
      <c r="H212" s="54">
        <f>IFERROR(__xludf.DUMMYFUNCTION("IMPORTRANGE(""https://docs.google.com/spreadsheets/d/1bozxp9FwhaCNzy-RRGPVPfVYTttO4PUGDdaFvbz-Ue0/edit?gid=1870218791#gid=1870218791"", ""Rev vs Mktg &amp; Mktg Mix!H"" &amp; ROW(G285))
"),-3.9600000000000004)</f>
        <v>-3.96</v>
      </c>
      <c r="I212" s="81">
        <f>IFERROR(__xludf.DUMMYFUNCTION("IMPORTRANGE(""https://docs.google.com/spreadsheets/d/1bozxp9FwhaCNzy-RRGPVPfVYTttO4PUGDdaFvbz-Ue0/edit?gid=1870218791#gid=1870218791"", ""Rev vs Mktg &amp; Mktg Mix!i"" &amp; ROW(I285))
"),-47.6)</f>
        <v>-47.6</v>
      </c>
      <c r="J212" s="81">
        <f>IFERROR(__xludf.DUMMYFUNCTION("IMPORTRANGE(""https://docs.google.com/spreadsheets/d/1bozxp9FwhaCNzy-RRGPVPfVYTttO4PUGDdaFvbz-Ue0/edit?gid=1870218791#gid=1870218791"", ""Rev vs Mktg &amp; Mktg Mix!J"" &amp; ROW(J285))
"),-21.309)</f>
        <v>-21.309</v>
      </c>
      <c r="K212" s="45"/>
      <c r="L212" s="81">
        <f>IFERROR(__xludf.DUMMYFUNCTION("IMPORTRANGE(""https://docs.google.com/spreadsheets/d/1bozxp9FwhaCNzy-RRGPVPfVYTttO4PUGDdaFvbz-Ue0/edit?gid=1870218791#gid=1870218791"", ""Rev vs Mktg &amp; Mktg Mix!L"" &amp; ROW(N285))
"),-47.289377099999996)</f>
        <v>-47.2893771</v>
      </c>
      <c r="M212" s="43"/>
      <c r="N212" s="81">
        <f>IFERROR(__xludf.DUMMYFUNCTION("IMPORTRANGE(""https://docs.google.com/spreadsheets/d/1bozxp9FwhaCNzy-RRGPVPfVYTttO4PUGDdaFvbz-Ue0/edit?gid=1870218791#gid=1870218791"", ""Rev vs Mktg &amp; Mktg Mix!N"" &amp; ROW(N285))
"),-2.5658)</f>
        <v>-2.5658</v>
      </c>
      <c r="O212" s="57">
        <f>IFERROR(__xludf.DUMMYFUNCTION("IMPORTRANGE(""https://docs.google.com/spreadsheets/d/1bozxp9FwhaCNzy-RRGPVPfVYTttO4PUGDdaFvbz-Ue0/edit?gid=1870218791#gid=1870218791"", ""Rev vs Mktg &amp; Mktg Mix!O"" &amp; ROW(O285))
"),-47.1575)</f>
        <v>-47.1575</v>
      </c>
      <c r="P212" s="57" t="str">
        <f>IFERROR(__xludf.DUMMYFUNCTION("IMPORTRANGE(""https://docs.google.com/spreadsheets/d/1bozxp9FwhaCNzy-RRGPVPfVYTttO4PUGDdaFvbz-Ue0/edit?gid=1870218791#gid=1870218791"", ""Rev vs Mktg &amp; Mktg Mix!P"" &amp; ROW(P285))
"),"")</f>
        <v/>
      </c>
      <c r="Q212" s="43"/>
      <c r="R212" s="45"/>
      <c r="S212" s="45">
        <f>VLOOKUP(VALUE(LEFT(A212, 4)), 'Raw Annual EBITDA'!A:S, 19, FALSE) / 4</f>
        <v>-13781</v>
      </c>
      <c r="T212" s="45">
        <f>VLOOKUP(VALUE(LEFT(A215, 4)), 'Raw Annual EBITDA'!A:T, 20, FALSE) / 4</f>
        <v>2672.5</v>
      </c>
      <c r="U212" s="82">
        <f>IFERROR(__xludf.DUMMYFUNCTION("IMPORTRANGE(""https://docs.google.com/spreadsheets/d/1bozxp9FwhaCNzy-RRGPVPfVYTttO4PUGDdaFvbz-Ue0/edit?gid=1870218791#gid=1870218791"", ""Rev vs Mktg &amp; Mktg Mix!u"" &amp; ROW(Z285))
"),-4.094)</f>
        <v>-4.094</v>
      </c>
      <c r="V212" s="45"/>
      <c r="W212" s="43"/>
      <c r="X212" s="45">
        <f>VLOOKUP(VALUE(LEFT($A214, 4)), 'Raw Annual EBITDA'!$A:X, 24, FALSE) / 4
</f>
        <v>-62145.25</v>
      </c>
      <c r="Y212" s="45">
        <f>VLOOKUP(VALUE(LEFT($A212, 4)), 'Raw Annual EBITDA'!$A:Y, 25, FALSE) / 4</f>
        <v>-35207.7055</v>
      </c>
      <c r="Z212" s="45">
        <f>VLOOKUP(VALUE(LEFT($A212, 4)), 'Raw Annual EBITDA'!$A:Z, 26, FALSE) / 4</f>
        <v>-4265.5</v>
      </c>
      <c r="AA212" s="45">
        <f>VLOOKUP(VALUE(LEFT($A212, 4)), 'Raw Annual EBITDA'!$A:AA, 27, FALSE) / 4</f>
        <v>-10646</v>
      </c>
      <c r="AB212" s="45">
        <f>VLOOKUP(VALUE(LEFT($A212, 4)), 'Raw Annual EBITDA'!$A:AB, 28, FALSE) / 4</f>
        <v>-182.25</v>
      </c>
      <c r="AC212" s="45">
        <f>VLOOKUP(VALUE(LEFT($A212, 4)), 'Raw Annual EBITDA'!$A:AC, 29, FALSE) / 4</f>
        <v>-37097</v>
      </c>
      <c r="AD212" s="43"/>
    </row>
    <row r="213">
      <c r="A213" s="42" t="s">
        <v>125</v>
      </c>
      <c r="B213" s="58">
        <f>IFERROR(__xludf.DUMMYFUNCTION("IMPORTRANGE(""https://docs.google.com/spreadsheets/d/1bozxp9FwhaCNzy-RRGPVPfVYTttO4PUGDdaFvbz-Ue0/edit?gid=1870218791#gid=1870218791"", ""Rev vs Mktg &amp; Mktg Mix!B"" &amp; ROW(B286))
"),-3993.0)</f>
        <v>-3993</v>
      </c>
      <c r="C213" s="80">
        <f>IFERROR(__xludf.DUMMYFUNCTION("IMPORTRANGE(""https://docs.google.com/spreadsheets/d/1bozxp9FwhaCNzy-RRGPVPfVYTttO4PUGDdaFvbz-Ue0/edit?gid=1870218791#gid=1870218791"", ""Rev vs Mktg &amp; Mktg Mix!C"" &amp; ROW(C286))
"),245.0)</f>
        <v>245</v>
      </c>
      <c r="D213" s="80">
        <f>IFERROR(__xludf.DUMMYFUNCTION("IMPORTRANGE(""https://docs.google.com/spreadsheets/d/1bozxp9FwhaCNzy-RRGPVPfVYTttO4PUGDdaFvbz-Ue0/edit?gid=1870218791#gid=1870218791"", ""Rev vs Mktg &amp; Mktg Mix!D"" &amp; ROW(D286))
"),-156.0)</f>
        <v>-156</v>
      </c>
      <c r="E213" s="80">
        <f>IFERROR(__xludf.DUMMYFUNCTION("IMPORTRANGE(""https://docs.google.com/spreadsheets/d/1bozxp9FwhaCNzy-RRGPVPfVYTttO4PUGDdaFvbz-Ue0/edit?gid=1870218791#gid=1870218791"", ""Rev vs Mktg &amp; Mktg Mix!E"" &amp; ROW(E286))
"),124.0)</f>
        <v>124</v>
      </c>
      <c r="F213" s="80">
        <f>IFERROR(__xludf.DUMMYFUNCTION("IMPORTRANGE(""https://docs.google.com/spreadsheets/d/1bozxp9FwhaCNzy-RRGPVPfVYTttO4PUGDdaFvbz-Ue0/edit?gid=1870218791#gid=1870218791"", ""Rev vs Mktg &amp; Mktg Mix!F"" &amp; ROW(F286))
"),-104.0)</f>
        <v>-104</v>
      </c>
      <c r="G213" s="81">
        <f>IFERROR(__xludf.DUMMYFUNCTION("IMPORTRANGE(""https://docs.google.com/spreadsheets/d/1bozxp9FwhaCNzy-RRGPVPfVYTttO4PUGDdaFvbz-Ue0/edit?gid=1870218791#gid=1870218791"", ""Rev vs Mktg &amp; Mktg Mix!G"" &amp; ROW(G286))
"),-8.654)</f>
        <v>-8.654</v>
      </c>
      <c r="H213" s="54">
        <f>IFERROR(__xludf.DUMMYFUNCTION("IMPORTRANGE(""https://docs.google.com/spreadsheets/d/1bozxp9FwhaCNzy-RRGPVPfVYTttO4PUGDdaFvbz-Ue0/edit?gid=1870218791#gid=1870218791"", ""Rev vs Mktg &amp; Mktg Mix!H"" &amp; ROW(G286))
"),-13.200000000000001)</f>
        <v>-13.2</v>
      </c>
      <c r="I213" s="81">
        <f>IFERROR(__xludf.DUMMYFUNCTION("IMPORTRANGE(""https://docs.google.com/spreadsheets/d/1bozxp9FwhaCNzy-RRGPVPfVYTttO4PUGDdaFvbz-Ue0/edit?gid=1870218791#gid=1870218791"", ""Rev vs Mktg &amp; Mktg Mix!i"" &amp; ROW(I286))
"),-37.135)</f>
        <v>-37.135</v>
      </c>
      <c r="J213" s="81">
        <f>IFERROR(__xludf.DUMMYFUNCTION("IMPORTRANGE(""https://docs.google.com/spreadsheets/d/1bozxp9FwhaCNzy-RRGPVPfVYTttO4PUGDdaFvbz-Ue0/edit?gid=1870218791#gid=1870218791"", ""Rev vs Mktg &amp; Mktg Mix!J"" &amp; ROW(J286))
"),-3.569)</f>
        <v>-3.569</v>
      </c>
      <c r="K213" s="45"/>
      <c r="L213" s="81">
        <f>IFERROR(__xludf.DUMMYFUNCTION("IMPORTRANGE(""https://docs.google.com/spreadsheets/d/1bozxp9FwhaCNzy-RRGPVPfVYTttO4PUGDdaFvbz-Ue0/edit?gid=1870218791#gid=1870218791"", ""Rev vs Mktg &amp; Mktg Mix!L"" &amp; ROW(N286))
"),-197.2835907)</f>
        <v>-197.2835907</v>
      </c>
      <c r="M213" s="43"/>
      <c r="N213" s="81">
        <f>IFERROR(__xludf.DUMMYFUNCTION("IMPORTRANGE(""https://docs.google.com/spreadsheets/d/1bozxp9FwhaCNzy-RRGPVPfVYTttO4PUGDdaFvbz-Ue0/edit?gid=1870218791#gid=1870218791"", ""Rev vs Mktg &amp; Mktg Mix!N"" &amp; ROW(N286))
"),0.1925)</f>
        <v>0.1925</v>
      </c>
      <c r="O213" s="57">
        <f>IFERROR(__xludf.DUMMYFUNCTION("IMPORTRANGE(""https://docs.google.com/spreadsheets/d/1bozxp9FwhaCNzy-RRGPVPfVYTttO4PUGDdaFvbz-Ue0/edit?gid=1870218791#gid=1870218791"", ""Rev vs Mktg &amp; Mktg Mix!O"" &amp; ROW(O286))
"),-47.1575)</f>
        <v>-47.1575</v>
      </c>
      <c r="P213" s="57" t="str">
        <f>IFERROR(__xludf.DUMMYFUNCTION("IMPORTRANGE(""https://docs.google.com/spreadsheets/d/1bozxp9FwhaCNzy-RRGPVPfVYTttO4PUGDdaFvbz-Ue0/edit?gid=1870218791#gid=1870218791"", ""Rev vs Mktg &amp; Mktg Mix!P"" &amp; ROW(P286))
"),"")</f>
        <v/>
      </c>
      <c r="Q213" s="43"/>
      <c r="R213" s="45"/>
      <c r="S213" s="45">
        <f>VLOOKUP(VALUE(LEFT(A213, 4)), 'Raw Annual EBITDA'!A:S, 19, FALSE) / 4</f>
        <v>-13781</v>
      </c>
      <c r="T213" s="45">
        <f>VLOOKUP(VALUE(LEFT(A216, 4)), 'Raw Annual EBITDA'!A:T, 20, FALSE) / 4</f>
        <v>2672.5</v>
      </c>
      <c r="U213" s="82">
        <f>IFERROR(__xludf.DUMMYFUNCTION("IMPORTRANGE(""https://docs.google.com/spreadsheets/d/1bozxp9FwhaCNzy-RRGPVPfVYTttO4PUGDdaFvbz-Ue0/edit?gid=1870218791#gid=1870218791"", ""Rev vs Mktg &amp; Mktg Mix!u"" &amp; ROW(Z286))
"),-3.075)</f>
        <v>-3.075</v>
      </c>
      <c r="V213" s="45"/>
      <c r="W213" s="43"/>
      <c r="X213" s="45">
        <f>VLOOKUP(VALUE(LEFT($A215, 4)), 'Raw Annual EBITDA'!$A:X, 24, FALSE) / 4
</f>
        <v>-62145.25</v>
      </c>
      <c r="Y213" s="45">
        <f>VLOOKUP(VALUE(LEFT($A213, 4)), 'Raw Annual EBITDA'!$A:Y, 25, FALSE) / 4</f>
        <v>-35207.7055</v>
      </c>
      <c r="Z213" s="45">
        <f>VLOOKUP(VALUE(LEFT($A213, 4)), 'Raw Annual EBITDA'!$A:Z, 26, FALSE) / 4</f>
        <v>-4265.5</v>
      </c>
      <c r="AA213" s="45">
        <f>VLOOKUP(VALUE(LEFT($A213, 4)), 'Raw Annual EBITDA'!$A:AA, 27, FALSE) / 4</f>
        <v>-10646</v>
      </c>
      <c r="AB213" s="45">
        <f>VLOOKUP(VALUE(LEFT($A213, 4)), 'Raw Annual EBITDA'!$A:AB, 28, FALSE) / 4</f>
        <v>-182.25</v>
      </c>
      <c r="AC213" s="45">
        <f>VLOOKUP(VALUE(LEFT($A213, 4)), 'Raw Annual EBITDA'!$A:AC, 29, FALSE) / 4</f>
        <v>-37097</v>
      </c>
      <c r="AD213" s="43"/>
    </row>
    <row r="214">
      <c r="A214" s="42" t="s">
        <v>126</v>
      </c>
      <c r="B214" s="58">
        <f>IFERROR(__xludf.DUMMYFUNCTION("IMPORTRANGE(""https://docs.google.com/spreadsheets/d/1bozxp9FwhaCNzy-RRGPVPfVYTttO4PUGDdaFvbz-Ue0/edit?gid=1870218791#gid=1870218791"", ""Rev vs Mktg &amp; Mktg Mix!B"" &amp; ROW(B287))
"),-1165.902)</f>
        <v>-1165.902</v>
      </c>
      <c r="C214" s="80">
        <f>IFERROR(__xludf.DUMMYFUNCTION("IMPORTRANGE(""https://docs.google.com/spreadsheets/d/1bozxp9FwhaCNzy-RRGPVPfVYTttO4PUGDdaFvbz-Ue0/edit?gid=1870218791#gid=1870218791"", ""Rev vs Mktg &amp; Mktg Mix!C"" &amp; ROW(C287))
"),-278.0)</f>
        <v>-278</v>
      </c>
      <c r="D214" s="80">
        <f>IFERROR(__xludf.DUMMYFUNCTION("IMPORTRANGE(""https://docs.google.com/spreadsheets/d/1bozxp9FwhaCNzy-RRGPVPfVYTttO4PUGDdaFvbz-Ue0/edit?gid=1870218791#gid=1870218791"", ""Rev vs Mktg &amp; Mktg Mix!D"" &amp; ROW(D287))
"),-54.0)</f>
        <v>-54</v>
      </c>
      <c r="E214" s="80">
        <f>IFERROR(__xludf.DUMMYFUNCTION("IMPORTRANGE(""https://docs.google.com/spreadsheets/d/1bozxp9FwhaCNzy-RRGPVPfVYTttO4PUGDdaFvbz-Ue0/edit?gid=1870218791#gid=1870218791"", ""Rev vs Mktg &amp; Mktg Mix!E"" &amp; ROW(E287))
"),266.0)</f>
        <v>266</v>
      </c>
      <c r="F214" s="80">
        <f>IFERROR(__xludf.DUMMYFUNCTION("IMPORTRANGE(""https://docs.google.com/spreadsheets/d/1bozxp9FwhaCNzy-RRGPVPfVYTttO4PUGDdaFvbz-Ue0/edit?gid=1870218791#gid=1870218791"", ""Rev vs Mktg &amp; Mktg Mix!F"" &amp; ROW(F287))
"),-96.0)</f>
        <v>-96</v>
      </c>
      <c r="G214" s="81">
        <f>IFERROR(__xludf.DUMMYFUNCTION("IMPORTRANGE(""https://docs.google.com/spreadsheets/d/1bozxp9FwhaCNzy-RRGPVPfVYTttO4PUGDdaFvbz-Ue0/edit?gid=1870218791#gid=1870218791"", ""Rev vs Mktg &amp; Mktg Mix!G"" &amp; ROW(G287))
"),-8.0)</f>
        <v>-8</v>
      </c>
      <c r="H214" s="54">
        <f>IFERROR(__xludf.DUMMYFUNCTION("IMPORTRANGE(""https://docs.google.com/spreadsheets/d/1bozxp9FwhaCNzy-RRGPVPfVYTttO4PUGDdaFvbz-Ue0/edit?gid=1870218791#gid=1870218791"", ""Rev vs Mktg &amp; Mktg Mix!H"" &amp; ROW(G287))
"),-15.180000000000001)</f>
        <v>-15.18</v>
      </c>
      <c r="I214" s="81">
        <f>IFERROR(__xludf.DUMMYFUNCTION("IMPORTRANGE(""https://docs.google.com/spreadsheets/d/1bozxp9FwhaCNzy-RRGPVPfVYTttO4PUGDdaFvbz-Ue0/edit?gid=1870218791#gid=1870218791"", ""Rev vs Mktg &amp; Mktg Mix!i"" &amp; ROW(I287))
"),-37.271)</f>
        <v>-37.271</v>
      </c>
      <c r="J214" s="81">
        <f>IFERROR(__xludf.DUMMYFUNCTION("IMPORTRANGE(""https://docs.google.com/spreadsheets/d/1bozxp9FwhaCNzy-RRGPVPfVYTttO4PUGDdaFvbz-Ue0/edit?gid=1870218791#gid=1870218791"", ""Rev vs Mktg &amp; Mktg Mix!J"" &amp; ROW(J287))
"),-0.967)</f>
        <v>-0.967</v>
      </c>
      <c r="K214" s="45"/>
      <c r="L214" s="81">
        <f>IFERROR(__xludf.DUMMYFUNCTION("IMPORTRANGE(""https://docs.google.com/spreadsheets/d/1bozxp9FwhaCNzy-RRGPVPfVYTttO4PUGDdaFvbz-Ue0/edit?gid=1870218791#gid=1870218791"", ""Rev vs Mktg &amp; Mktg Mix!L"" &amp; ROW(N287))
"),-32.9553189)</f>
        <v>-32.9553189</v>
      </c>
      <c r="M214" s="43"/>
      <c r="N214" s="81">
        <f>IFERROR(__xludf.DUMMYFUNCTION("IMPORTRANGE(""https://docs.google.com/spreadsheets/d/1bozxp9FwhaCNzy-RRGPVPfVYTttO4PUGDdaFvbz-Ue0/edit?gid=1870218791#gid=1870218791"", ""Rev vs Mktg &amp; Mktg Mix!N"" &amp; ROW(N287))
"),-1.0438)</f>
        <v>-1.0438</v>
      </c>
      <c r="O214" s="57">
        <f>IFERROR(__xludf.DUMMYFUNCTION("IMPORTRANGE(""https://docs.google.com/spreadsheets/d/1bozxp9FwhaCNzy-RRGPVPfVYTttO4PUGDdaFvbz-Ue0/edit?gid=1870218791#gid=1870218791"", ""Rev vs Mktg &amp; Mktg Mix!O"" &amp; ROW(O287))
"),-10.5625)</f>
        <v>-10.5625</v>
      </c>
      <c r="P214" s="57">
        <f>IFERROR(__xludf.DUMMYFUNCTION("IMPORTRANGE(""https://docs.google.com/spreadsheets/d/1bozxp9FwhaCNzy-RRGPVPfVYTttO4PUGDdaFvbz-Ue0/edit?gid=1870218791#gid=1870218791"", ""Rev vs Mktg &amp; Mktg Mix!P"" &amp; ROW(P287))
"),0.65)</f>
        <v>0.65</v>
      </c>
      <c r="Q214" s="43"/>
      <c r="R214" s="45"/>
      <c r="S214" s="45">
        <f>VLOOKUP(VALUE(LEFT(A214, 4)), 'Raw Annual EBITDA'!A:S, 19, FALSE) / 4</f>
        <v>-4656.025</v>
      </c>
      <c r="T214" s="45">
        <f>VLOOKUP(VALUE(LEFT(A217, 4)), 'Raw Annual EBITDA'!A:T, 20, FALSE) / 4</f>
        <v>2672.5</v>
      </c>
      <c r="U214" s="82">
        <f>IFERROR(__xludf.DUMMYFUNCTION("IMPORTRANGE(""https://docs.google.com/spreadsheets/d/1bozxp9FwhaCNzy-RRGPVPfVYTttO4PUGDdaFvbz-Ue0/edit?gid=1870218791#gid=1870218791"", ""Rev vs Mktg &amp; Mktg Mix!u"" &amp; ROW(Z287))
"),-7.181)</f>
        <v>-7.181</v>
      </c>
      <c r="V214" s="45"/>
      <c r="W214" s="43"/>
      <c r="X214" s="45">
        <f>VLOOKUP(VALUE(LEFT($A216, 4)), 'Raw Annual EBITDA'!$A:X, 24, FALSE) / 4
</f>
        <v>-62145.25</v>
      </c>
      <c r="Y214" s="45">
        <f>VLOOKUP(VALUE(LEFT($A214, 4)), 'Raw Annual EBITDA'!$A:Y, 25, FALSE) / 4</f>
        <v>-30772.5921</v>
      </c>
      <c r="Z214" s="45">
        <f>VLOOKUP(VALUE(LEFT($A214, 4)), 'Raw Annual EBITDA'!$A:Z, 26, FALSE) / 4</f>
        <v>-2654.25</v>
      </c>
      <c r="AA214" s="45">
        <f>VLOOKUP(VALUE(LEFT($A214, 4)), 'Raw Annual EBITDA'!$A:AA, 27, FALSE) / 4</f>
        <v>-737.25</v>
      </c>
      <c r="AB214" s="45">
        <f>VLOOKUP(VALUE(LEFT($A214, 4)), 'Raw Annual EBITDA'!$A:AB, 28, FALSE) / 4</f>
        <v>-9489.5</v>
      </c>
      <c r="AC214" s="45">
        <f>VLOOKUP(VALUE(LEFT($A214, 4)), 'Raw Annual EBITDA'!$A:AC, 29, FALSE) / 4</f>
        <v>-36409</v>
      </c>
      <c r="AD214" s="43"/>
    </row>
    <row r="215">
      <c r="A215" s="42" t="s">
        <v>127</v>
      </c>
      <c r="B215" s="58">
        <f>IFERROR(__xludf.DUMMYFUNCTION("IMPORTRANGE(""https://docs.google.com/spreadsheets/d/1bozxp9FwhaCNzy-RRGPVPfVYTttO4PUGDdaFvbz-Ue0/edit?gid=1870218791#gid=1870218791"", ""Rev vs Mktg &amp; Mktg Mix!B"" &amp; ROW(B288))
"),-56.984)</f>
        <v>-56.984</v>
      </c>
      <c r="C215" s="80">
        <f>IFERROR(__xludf.DUMMYFUNCTION("IMPORTRANGE(""https://docs.google.com/spreadsheets/d/1bozxp9FwhaCNzy-RRGPVPfVYTttO4PUGDdaFvbz-Ue0/edit?gid=1870218791#gid=1870218791"", ""Rev vs Mktg &amp; Mktg Mix!C"" &amp; ROW(C288))
"),-41.0)</f>
        <v>-41</v>
      </c>
      <c r="D215" s="80">
        <f>IFERROR(__xludf.DUMMYFUNCTION("IMPORTRANGE(""https://docs.google.com/spreadsheets/d/1bozxp9FwhaCNzy-RRGPVPfVYTttO4PUGDdaFvbz-Ue0/edit?gid=1870218791#gid=1870218791"", ""Rev vs Mktg &amp; Mktg Mix!D"" &amp; ROW(D288))
"),196.0)</f>
        <v>196</v>
      </c>
      <c r="E215" s="80">
        <f>IFERROR(__xludf.DUMMYFUNCTION("IMPORTRANGE(""https://docs.google.com/spreadsheets/d/1bozxp9FwhaCNzy-RRGPVPfVYTttO4PUGDdaFvbz-Ue0/edit?gid=1870218791#gid=1870218791"", ""Rev vs Mktg &amp; Mktg Mix!E"" &amp; ROW(E288))
"),-72.0)</f>
        <v>-72</v>
      </c>
      <c r="F215" s="80">
        <f>IFERROR(__xludf.DUMMYFUNCTION("IMPORTRANGE(""https://docs.google.com/spreadsheets/d/1bozxp9FwhaCNzy-RRGPVPfVYTttO4PUGDdaFvbz-Ue0/edit?gid=1870218791#gid=1870218791"", ""Rev vs Mktg &amp; Mktg Mix!F"" &amp; ROW(F288))
"),-46.0)</f>
        <v>-46</v>
      </c>
      <c r="G215" s="81">
        <f>IFERROR(__xludf.DUMMYFUNCTION("IMPORTRANGE(""https://docs.google.com/spreadsheets/d/1bozxp9FwhaCNzy-RRGPVPfVYTttO4PUGDdaFvbz-Ue0/edit?gid=1870218791#gid=1870218791"", ""Rev vs Mktg &amp; Mktg Mix!G"" &amp; ROW(G288))
"),-3.283)</f>
        <v>-3.283</v>
      </c>
      <c r="H215" s="54">
        <f>IFERROR(__xludf.DUMMYFUNCTION("IMPORTRANGE(""https://docs.google.com/spreadsheets/d/1bozxp9FwhaCNzy-RRGPVPfVYTttO4PUGDdaFvbz-Ue0/edit?gid=1870218791#gid=1870218791"", ""Rev vs Mktg &amp; Mktg Mix!H"" &amp; ROW(G288))
"),-4.620000000000001)</f>
        <v>-4.62</v>
      </c>
      <c r="I215" s="81">
        <f>IFERROR(__xludf.DUMMYFUNCTION("IMPORTRANGE(""https://docs.google.com/spreadsheets/d/1bozxp9FwhaCNzy-RRGPVPfVYTttO4PUGDdaFvbz-Ue0/edit?gid=1870218791#gid=1870218791"", ""Rev vs Mktg &amp; Mktg Mix!i"" &amp; ROW(I288))
"),-37.771)</f>
        <v>-37.771</v>
      </c>
      <c r="J215" s="81">
        <f>IFERROR(__xludf.DUMMYFUNCTION("IMPORTRANGE(""https://docs.google.com/spreadsheets/d/1bozxp9FwhaCNzy-RRGPVPfVYTttO4PUGDdaFvbz-Ue0/edit?gid=1870218791#gid=1870218791"", ""Rev vs Mktg &amp; Mktg Mix!J"" &amp; ROW(J288))
"),-24.996)</f>
        <v>-24.996</v>
      </c>
      <c r="K215" s="45">
        <f>VLOOKUP(VALUE(LEFT(A103, 4)), 'Raw Annual EBITDA'!A:K, 11, FALSE) / 4</f>
        <v>-363</v>
      </c>
      <c r="L215" s="81">
        <f>IFERROR(__xludf.DUMMYFUNCTION("IMPORTRANGE(""https://docs.google.com/spreadsheets/d/1bozxp9FwhaCNzy-RRGPVPfVYTttO4PUGDdaFvbz-Ue0/edit?gid=1870218791#gid=1870218791"", ""Rev vs Mktg &amp; Mktg Mix!L"" &amp; ROW(N288))
"),-24.2406246327)</f>
        <v>-24.24062463</v>
      </c>
      <c r="M215" s="43"/>
      <c r="N215" s="81">
        <f>IFERROR(__xludf.DUMMYFUNCTION("IMPORTRANGE(""https://docs.google.com/spreadsheets/d/1bozxp9FwhaCNzy-RRGPVPfVYTttO4PUGDdaFvbz-Ue0/edit?gid=1870218791#gid=1870218791"", ""Rev vs Mktg &amp; Mktg Mix!N"" &amp; ROW(N288))
"),-0.893)</f>
        <v>-0.893</v>
      </c>
      <c r="O215" s="57">
        <f>IFERROR(__xludf.DUMMYFUNCTION("IMPORTRANGE(""https://docs.google.com/spreadsheets/d/1bozxp9FwhaCNzy-RRGPVPfVYTttO4PUGDdaFvbz-Ue0/edit?gid=1870218791#gid=1870218791"", ""Rev vs Mktg &amp; Mktg Mix!O"" &amp; ROW(O288))
"),-23.8225)</f>
        <v>-23.8225</v>
      </c>
      <c r="P215" s="57">
        <f>IFERROR(__xludf.DUMMYFUNCTION("IMPORTRANGE(""https://docs.google.com/spreadsheets/d/1bozxp9FwhaCNzy-RRGPVPfVYTttO4PUGDdaFvbz-Ue0/edit?gid=1870218791#gid=1870218791"", ""Rev vs Mktg &amp; Mktg Mix!P"" &amp; ROW(P288))
"),0.65)</f>
        <v>0.65</v>
      </c>
      <c r="Q215" s="43"/>
      <c r="R215" s="45"/>
      <c r="S215" s="45">
        <f>VLOOKUP(VALUE(LEFT(A215, 4)), 'Raw Annual EBITDA'!A:S, 19, FALSE) / 4</f>
        <v>-4656.025</v>
      </c>
      <c r="T215" s="45">
        <f>VLOOKUP(VALUE(LEFT(A218, 4)), 'Raw Annual EBITDA'!A:T, 20, FALSE) / 4</f>
        <v>4518</v>
      </c>
      <c r="U215" s="82">
        <f>IFERROR(__xludf.DUMMYFUNCTION("IMPORTRANGE(""https://docs.google.com/spreadsheets/d/1bozxp9FwhaCNzy-RRGPVPfVYTttO4PUGDdaFvbz-Ue0/edit?gid=1870218791#gid=1870218791"", ""Rev vs Mktg &amp; Mktg Mix!u"" &amp; ROW(Z288))
"),-1.061)</f>
        <v>-1.061</v>
      </c>
      <c r="V215" s="45"/>
      <c r="W215" s="43"/>
      <c r="X215" s="45">
        <f>VLOOKUP(VALUE(LEFT($A217, 4)), 'Raw Annual EBITDA'!$A:X, 24, FALSE) / 4
</f>
        <v>-62145.25</v>
      </c>
      <c r="Y215" s="45">
        <f>VLOOKUP(VALUE(LEFT($A215, 4)), 'Raw Annual EBITDA'!$A:Y, 25, FALSE) / 4</f>
        <v>-30772.5921</v>
      </c>
      <c r="Z215" s="45">
        <f>VLOOKUP(VALUE(LEFT($A215, 4)), 'Raw Annual EBITDA'!$A:Z, 26, FALSE) / 4</f>
        <v>-2654.25</v>
      </c>
      <c r="AA215" s="45">
        <f>VLOOKUP(VALUE(LEFT($A215, 4)), 'Raw Annual EBITDA'!$A:AA, 27, FALSE) / 4</f>
        <v>-737.25</v>
      </c>
      <c r="AB215" s="45">
        <f>VLOOKUP(VALUE(LEFT($A215, 4)), 'Raw Annual EBITDA'!$A:AB, 28, FALSE) / 4</f>
        <v>-9489.5</v>
      </c>
      <c r="AC215" s="45">
        <f>VLOOKUP(VALUE(LEFT($A215, 4)), 'Raw Annual EBITDA'!$A:AC, 29, FALSE) / 4</f>
        <v>-36409</v>
      </c>
      <c r="AD215" s="43"/>
    </row>
    <row r="216">
      <c r="A216" s="42" t="s">
        <v>128</v>
      </c>
      <c r="B216" s="58">
        <f>IFERROR(__xludf.DUMMYFUNCTION("IMPORTRANGE(""https://docs.google.com/spreadsheets/d/1bozxp9FwhaCNzy-RRGPVPfVYTttO4PUGDdaFvbz-Ue0/edit?gid=1870218791#gid=1870218791"", ""Rev vs Mktg &amp; Mktg Mix!B"" &amp; ROW(B289))
"),850.458)</f>
        <v>850.458</v>
      </c>
      <c r="C216" s="80">
        <f>IFERROR(__xludf.DUMMYFUNCTION("IMPORTRANGE(""https://docs.google.com/spreadsheets/d/1bozxp9FwhaCNzy-RRGPVPfVYTttO4PUGDdaFvbz-Ue0/edit?gid=1870218791#gid=1870218791"", ""Rev vs Mktg &amp; Mktg Mix!C"" &amp; ROW(C289))
"),968.0)</f>
        <v>968</v>
      </c>
      <c r="D216" s="80">
        <f>IFERROR(__xludf.DUMMYFUNCTION("IMPORTRANGE(""https://docs.google.com/spreadsheets/d/1bozxp9FwhaCNzy-RRGPVPfVYTttO4PUGDdaFvbz-Ue0/edit?gid=1870218791#gid=1870218791"", ""Rev vs Mktg &amp; Mktg Mix!D"" &amp; ROW(D289))
"),837.0)</f>
        <v>837</v>
      </c>
      <c r="E216" s="80">
        <f>IFERROR(__xludf.DUMMYFUNCTION("IMPORTRANGE(""https://docs.google.com/spreadsheets/d/1bozxp9FwhaCNzy-RRGPVPfVYTttO4PUGDdaFvbz-Ue0/edit?gid=1870218791#gid=1870218791"", ""Rev vs Mktg &amp; Mktg Mix!E"" &amp; ROW(E289))
"),-154.0)</f>
        <v>-154</v>
      </c>
      <c r="F216" s="80">
        <f>IFERROR(__xludf.DUMMYFUNCTION("IMPORTRANGE(""https://docs.google.com/spreadsheets/d/1bozxp9FwhaCNzy-RRGPVPfVYTttO4PUGDdaFvbz-Ue0/edit?gid=1870218791#gid=1870218791"", ""Rev vs Mktg &amp; Mktg Mix!F"" &amp; ROW(F289))
"),3.0)</f>
        <v>3</v>
      </c>
      <c r="G216" s="81">
        <f>IFERROR(__xludf.DUMMYFUNCTION("IMPORTRANGE(""https://docs.google.com/spreadsheets/d/1bozxp9FwhaCNzy-RRGPVPfVYTttO4PUGDdaFvbz-Ue0/edit?gid=1870218791#gid=1870218791"", ""Rev vs Mktg &amp; Mktg Mix!G"" &amp; ROW(G289))
"),8.8)</f>
        <v>8.8</v>
      </c>
      <c r="H216" s="54">
        <f>IFERROR(__xludf.DUMMYFUNCTION("IMPORTRANGE(""https://docs.google.com/spreadsheets/d/1bozxp9FwhaCNzy-RRGPVPfVYTttO4PUGDdaFvbz-Ue0/edit?gid=1870218791#gid=1870218791"", ""Rev vs Mktg &amp; Mktg Mix!H"" &amp; ROW(G289))
"),0.77)</f>
        <v>0.77</v>
      </c>
      <c r="I216" s="81">
        <f>IFERROR(__xludf.DUMMYFUNCTION("IMPORTRANGE(""https://docs.google.com/spreadsheets/d/1bozxp9FwhaCNzy-RRGPVPfVYTttO4PUGDdaFvbz-Ue0/edit?gid=1870218791#gid=1870218791"", ""Rev vs Mktg &amp; Mktg Mix!i"" &amp; ROW(I289))
"),-25.599)</f>
        <v>-25.599</v>
      </c>
      <c r="J216" s="81">
        <f>IFERROR(__xludf.DUMMYFUNCTION("IMPORTRANGE(""https://docs.google.com/spreadsheets/d/1bozxp9FwhaCNzy-RRGPVPfVYTttO4PUGDdaFvbz-Ue0/edit?gid=1870218791#gid=1870218791"", ""Rev vs Mktg &amp; Mktg Mix!J"" &amp; ROW(J289))
"),-8.59)</f>
        <v>-8.59</v>
      </c>
      <c r="K216" s="45">
        <f>VLOOKUP(VALUE(LEFT(A104, 4)), 'Raw Annual EBITDA'!A:K, 11, FALSE) / 4</f>
        <v>-363</v>
      </c>
      <c r="L216" s="81">
        <f>IFERROR(__xludf.DUMMYFUNCTION("IMPORTRANGE(""https://docs.google.com/spreadsheets/d/1bozxp9FwhaCNzy-RRGPVPfVYTttO4PUGDdaFvbz-Ue0/edit?gid=1870218791#gid=1870218791"", ""Rev vs Mktg &amp; Mktg Mix!L"" &amp; ROW(N289))
"),-18.0036165708)</f>
        <v>-18.00361657</v>
      </c>
      <c r="M216" s="43"/>
      <c r="N216" s="81">
        <f>IFERROR(__xludf.DUMMYFUNCTION("IMPORTRANGE(""https://docs.google.com/spreadsheets/d/1bozxp9FwhaCNzy-RRGPVPfVYTttO4PUGDdaFvbz-Ue0/edit?gid=1870218791#gid=1870218791"", ""Rev vs Mktg &amp; Mktg Mix!N"" &amp; ROW(N289))
"),-0.0322)</f>
        <v>-0.0322</v>
      </c>
      <c r="O216" s="57">
        <f>IFERROR(__xludf.DUMMYFUNCTION("IMPORTRANGE(""https://docs.google.com/spreadsheets/d/1bozxp9FwhaCNzy-RRGPVPfVYTttO4PUGDdaFvbz-Ue0/edit?gid=1870218791#gid=1870218791"", ""Rev vs Mktg &amp; Mktg Mix!O"" &amp; ROW(O289))
"),-23.8225)</f>
        <v>-23.8225</v>
      </c>
      <c r="P216" s="57">
        <f>IFERROR(__xludf.DUMMYFUNCTION("IMPORTRANGE(""https://docs.google.com/spreadsheets/d/1bozxp9FwhaCNzy-RRGPVPfVYTttO4PUGDdaFvbz-Ue0/edit?gid=1870218791#gid=1870218791"", ""Rev vs Mktg &amp; Mktg Mix!P"" &amp; ROW(P289))
"),0.65)</f>
        <v>0.65</v>
      </c>
      <c r="Q216" s="43"/>
      <c r="R216" s="45"/>
      <c r="S216" s="45">
        <f>VLOOKUP(VALUE(LEFT(A216, 4)), 'Raw Annual EBITDA'!A:S, 19, FALSE) / 4</f>
        <v>-4656.025</v>
      </c>
      <c r="T216" s="45">
        <f>VLOOKUP(VALUE(LEFT(A219, 4)), 'Raw Annual EBITDA'!A:T, 20, FALSE) / 4</f>
        <v>4518</v>
      </c>
      <c r="U216" s="82">
        <f>IFERROR(__xludf.DUMMYFUNCTION("IMPORTRANGE(""https://docs.google.com/spreadsheets/d/1bozxp9FwhaCNzy-RRGPVPfVYTttO4PUGDdaFvbz-Ue0/edit?gid=1870218791#gid=1870218791"", ""Rev vs Mktg &amp; Mktg Mix!u"" &amp; ROW(Z289))
"),-1.857)</f>
        <v>-1.857</v>
      </c>
      <c r="V216" s="45"/>
      <c r="W216" s="43"/>
      <c r="X216" s="45">
        <f>VLOOKUP(VALUE(LEFT($A218, 4)), 'Raw Annual EBITDA'!$A:X, 24, FALSE) / 4
</f>
        <v>-80309.25</v>
      </c>
      <c r="Y216" s="45">
        <f>VLOOKUP(VALUE(LEFT($A216, 4)), 'Raw Annual EBITDA'!$A:Y, 25, FALSE) / 4</f>
        <v>-30772.5921</v>
      </c>
      <c r="Z216" s="45">
        <f>VLOOKUP(VALUE(LEFT($A216, 4)), 'Raw Annual EBITDA'!$A:Z, 26, FALSE) / 4</f>
        <v>-2654.25</v>
      </c>
      <c r="AA216" s="45">
        <f>VLOOKUP(VALUE(LEFT($A216, 4)), 'Raw Annual EBITDA'!$A:AA, 27, FALSE) / 4</f>
        <v>-737.25</v>
      </c>
      <c r="AB216" s="45">
        <f>VLOOKUP(VALUE(LEFT($A216, 4)), 'Raw Annual EBITDA'!$A:AB, 28, FALSE) / 4</f>
        <v>-9489.5</v>
      </c>
      <c r="AC216" s="45">
        <f>VLOOKUP(VALUE(LEFT($A216, 4)), 'Raw Annual EBITDA'!$A:AC, 29, FALSE) / 4</f>
        <v>-36409</v>
      </c>
      <c r="AD216" s="43"/>
    </row>
    <row r="217">
      <c r="A217" s="42" t="s">
        <v>129</v>
      </c>
      <c r="B217" s="58">
        <f>IFERROR(__xludf.DUMMYFUNCTION("IMPORTRANGE(""https://docs.google.com/spreadsheets/d/1bozxp9FwhaCNzy-RRGPVPfVYTttO4PUGDdaFvbz-Ue0/edit?gid=1870218791#gid=1870218791"", ""Rev vs Mktg &amp; Mktg Mix!B"" &amp; ROW(B290))
"),72.221)</f>
        <v>72.221</v>
      </c>
      <c r="C217" s="80">
        <f>IFERROR(__xludf.DUMMYFUNCTION("IMPORTRANGE(""https://docs.google.com/spreadsheets/d/1bozxp9FwhaCNzy-RRGPVPfVYTttO4PUGDdaFvbz-Ue0/edit?gid=1870218791#gid=1870218791"", ""Rev vs Mktg &amp; Mktg Mix!C"" &amp; ROW(C290))
"),816.0)</f>
        <v>816</v>
      </c>
      <c r="D217" s="80">
        <f>IFERROR(__xludf.DUMMYFUNCTION("IMPORTRANGE(""https://docs.google.com/spreadsheets/d/1bozxp9FwhaCNzy-RRGPVPfVYTttO4PUGDdaFvbz-Ue0/edit?gid=1870218791#gid=1870218791"", ""Rev vs Mktg &amp; Mktg Mix!D"" &amp; ROW(D290))
"),459.0)</f>
        <v>459</v>
      </c>
      <c r="E217" s="80">
        <f>IFERROR(__xludf.DUMMYFUNCTION("IMPORTRANGE(""https://docs.google.com/spreadsheets/d/1bozxp9FwhaCNzy-RRGPVPfVYTttO4PUGDdaFvbz-Ue0/edit?gid=1870218791#gid=1870218791"", ""Rev vs Mktg &amp; Mktg Mix!E"" &amp; ROW(E290))
"),-116.0)</f>
        <v>-116</v>
      </c>
      <c r="F217" s="80">
        <f>IFERROR(__xludf.DUMMYFUNCTION("IMPORTRANGE(""https://docs.google.com/spreadsheets/d/1bozxp9FwhaCNzy-RRGPVPfVYTttO4PUGDdaFvbz-Ue0/edit?gid=1870218791#gid=1870218791"", ""Rev vs Mktg &amp; Mktg Mix!F"" &amp; ROW(F290))
"),-47.0)</f>
        <v>-47</v>
      </c>
      <c r="G217" s="81">
        <f>IFERROR(__xludf.DUMMYFUNCTION("IMPORTRANGE(""https://docs.google.com/spreadsheets/d/1bozxp9FwhaCNzy-RRGPVPfVYTttO4PUGDdaFvbz-Ue0/edit?gid=1870218791#gid=1870218791"", ""Rev vs Mktg &amp; Mktg Mix!G"" &amp; ROW(G290))
"),25.744)</f>
        <v>25.744</v>
      </c>
      <c r="H217" s="54">
        <f>IFERROR(__xludf.DUMMYFUNCTION("IMPORTRANGE(""https://docs.google.com/spreadsheets/d/1bozxp9FwhaCNzy-RRGPVPfVYTttO4PUGDdaFvbz-Ue0/edit?gid=1870218791#gid=1870218791"", ""Rev vs Mktg &amp; Mktg Mix!H"" &amp; ROW(G290))
"),-4.620000000000001)</f>
        <v>-4.62</v>
      </c>
      <c r="I217" s="81">
        <f>IFERROR(__xludf.DUMMYFUNCTION("IMPORTRANGE(""https://docs.google.com/spreadsheets/d/1bozxp9FwhaCNzy-RRGPVPfVYTttO4PUGDdaFvbz-Ue0/edit?gid=1870218791#gid=1870218791"", ""Rev vs Mktg &amp; Mktg Mix!i"" &amp; ROW(I290))
"),-5.456)</f>
        <v>-5.456</v>
      </c>
      <c r="J217" s="81">
        <f>IFERROR(__xludf.DUMMYFUNCTION("IMPORTRANGE(""https://docs.google.com/spreadsheets/d/1bozxp9FwhaCNzy-RRGPVPfVYTttO4PUGDdaFvbz-Ue0/edit?gid=1870218791#gid=1870218791"", ""Rev vs Mktg &amp; Mktg Mix!J"" &amp; ROW(J290))
"),-9.588)</f>
        <v>-9.588</v>
      </c>
      <c r="K217" s="45">
        <f>VLOOKUP(VALUE(LEFT(A105, 4)), 'Raw Annual EBITDA'!A:K, 11, FALSE) / 4</f>
        <v>-363</v>
      </c>
      <c r="L217" s="81">
        <f>IFERROR(__xludf.DUMMYFUNCTION("IMPORTRANGE(""https://docs.google.com/spreadsheets/d/1bozxp9FwhaCNzy-RRGPVPfVYTttO4PUGDdaFvbz-Ue0/edit?gid=1870218791#gid=1870218791"", ""Rev vs Mktg &amp; Mktg Mix!L"" &amp; ROW(N290))
"),-10.79937188610001)</f>
        <v>-10.79937189</v>
      </c>
      <c r="M217" s="43"/>
      <c r="N217" s="81">
        <f>IFERROR(__xludf.DUMMYFUNCTION("IMPORTRANGE(""https://docs.google.com/spreadsheets/d/1bozxp9FwhaCNzy-RRGPVPfVYTttO4PUGDdaFvbz-Ue0/edit?gid=1870218791#gid=1870218791"", ""Rev vs Mktg &amp; Mktg Mix!N"" &amp; ROW(N290))
"),0.7195)</f>
        <v>0.7195</v>
      </c>
      <c r="O217" s="57">
        <f>IFERROR(__xludf.DUMMYFUNCTION("IMPORTRANGE(""https://docs.google.com/spreadsheets/d/1bozxp9FwhaCNzy-RRGPVPfVYTttO4PUGDdaFvbz-Ue0/edit?gid=1870218791#gid=1870218791"", ""Rev vs Mktg &amp; Mktg Mix!O"" &amp; ROW(O290))
"),-10.270000000000003)</f>
        <v>-10.27</v>
      </c>
      <c r="P217" s="57">
        <f>IFERROR(__xludf.DUMMYFUNCTION("IMPORTRANGE(""https://docs.google.com/spreadsheets/d/1bozxp9FwhaCNzy-RRGPVPfVYTttO4PUGDdaFvbz-Ue0/edit?gid=1870218791#gid=1870218791"", ""Rev vs Mktg &amp; Mktg Mix!P"" &amp; ROW(P290))
"),2.4050000000000002)</f>
        <v>2.405</v>
      </c>
      <c r="Q217" s="43"/>
      <c r="R217" s="45"/>
      <c r="S217" s="45">
        <f>VLOOKUP(VALUE(LEFT(A217, 4)), 'Raw Annual EBITDA'!A:S, 19, FALSE) / 4</f>
        <v>-4656.025</v>
      </c>
      <c r="T217" s="45">
        <f>VLOOKUP(VALUE(LEFT(A220, 4)), 'Raw Annual EBITDA'!A:T, 20, FALSE) / 4</f>
        <v>4518</v>
      </c>
      <c r="U217" s="82">
        <f>IFERROR(__xludf.DUMMYFUNCTION("IMPORTRANGE(""https://docs.google.com/spreadsheets/d/1bozxp9FwhaCNzy-RRGPVPfVYTttO4PUGDdaFvbz-Ue0/edit?gid=1870218791#gid=1870218791"", ""Rev vs Mktg &amp; Mktg Mix!u"" &amp; ROW(Z290))
"),-1.846)</f>
        <v>-1.846</v>
      </c>
      <c r="V217" s="45"/>
      <c r="W217" s="43"/>
      <c r="X217" s="45">
        <f>VLOOKUP(VALUE(LEFT($A219, 4)), 'Raw Annual EBITDA'!$A:X, 24, FALSE) / 4
</f>
        <v>-80309.25</v>
      </c>
      <c r="Y217" s="45">
        <f>VLOOKUP(VALUE(LEFT($A217, 4)), 'Raw Annual EBITDA'!$A:Y, 25, FALSE) / 4</f>
        <v>-30772.5921</v>
      </c>
      <c r="Z217" s="45">
        <f>VLOOKUP(VALUE(LEFT($A217, 4)), 'Raw Annual EBITDA'!$A:Z, 26, FALSE) / 4</f>
        <v>-2654.25</v>
      </c>
      <c r="AA217" s="45">
        <f>VLOOKUP(VALUE(LEFT($A217, 4)), 'Raw Annual EBITDA'!$A:AA, 27, FALSE) / 4</f>
        <v>-737.25</v>
      </c>
      <c r="AB217" s="45">
        <f>VLOOKUP(VALUE(LEFT($A217, 4)), 'Raw Annual EBITDA'!$A:AB, 28, FALSE) / 4</f>
        <v>-9489.5</v>
      </c>
      <c r="AC217" s="45">
        <f>VLOOKUP(VALUE(LEFT($A217, 4)), 'Raw Annual EBITDA'!$A:AC, 29, FALSE) / 4</f>
        <v>-36409</v>
      </c>
      <c r="AD217" s="43"/>
    </row>
    <row r="218">
      <c r="A218" s="42" t="s">
        <v>130</v>
      </c>
      <c r="B218" s="58">
        <f>IFERROR(__xludf.DUMMYFUNCTION("IMPORTRANGE(""https://docs.google.com/spreadsheets/d/1bozxp9FwhaCNzy-RRGPVPfVYTttO4PUGDdaFvbz-Ue0/edit?gid=1870218791#gid=1870218791"", ""Rev vs Mktg &amp; Mktg Mix!B"" &amp; ROW(B291))
"),-8.086)</f>
        <v>-8.086</v>
      </c>
      <c r="C218" s="80">
        <f>IFERROR(__xludf.DUMMYFUNCTION("IMPORTRANGE(""https://docs.google.com/spreadsheets/d/1bozxp9FwhaCNzy-RRGPVPfVYTttO4PUGDdaFvbz-Ue0/edit?gid=1870218791#gid=1870218791"", ""Rev vs Mktg &amp; Mktg Mix!C"" &amp; ROW(C291))
"),-849.0)</f>
        <v>-849</v>
      </c>
      <c r="D218" s="80">
        <f>IFERROR(__xludf.DUMMYFUNCTION("IMPORTRANGE(""https://docs.google.com/spreadsheets/d/1bozxp9FwhaCNzy-RRGPVPfVYTttO4PUGDdaFvbz-Ue0/edit?gid=1870218791#gid=1870218791"", ""Rev vs Mktg &amp; Mktg Mix!D"" &amp; ROW(D291))
"),148.0)</f>
        <v>148</v>
      </c>
      <c r="E218" s="80">
        <f>IFERROR(__xludf.DUMMYFUNCTION("IMPORTRANGE(""https://docs.google.com/spreadsheets/d/1bozxp9FwhaCNzy-RRGPVPfVYTttO4PUGDdaFvbz-Ue0/edit?gid=1870218791#gid=1870218791"", ""Rev vs Mktg &amp; Mktg Mix!E"" &amp; ROW(E291))
"),-128.0)</f>
        <v>-128</v>
      </c>
      <c r="F218" s="80">
        <f>IFERROR(__xludf.DUMMYFUNCTION("IMPORTRANGE(""https://docs.google.com/spreadsheets/d/1bozxp9FwhaCNzy-RRGPVPfVYTttO4PUGDdaFvbz-Ue0/edit?gid=1870218791#gid=1870218791"", ""Rev vs Mktg &amp; Mktg Mix!F"" &amp; ROW(F291))
"),-33.0)</f>
        <v>-33</v>
      </c>
      <c r="G218" s="81">
        <f>IFERROR(__xludf.DUMMYFUNCTION("IMPORTRANGE(""https://docs.google.com/spreadsheets/d/1bozxp9FwhaCNzy-RRGPVPfVYTttO4PUGDdaFvbz-Ue0/edit?gid=1870218791#gid=1870218791"", ""Rev vs Mktg &amp; Mktg Mix!G"" &amp; ROW(G291))
"),-4.626)</f>
        <v>-4.626</v>
      </c>
      <c r="H218" s="54">
        <f>IFERROR(__xludf.DUMMYFUNCTION("IMPORTRANGE(""https://docs.google.com/spreadsheets/d/1bozxp9FwhaCNzy-RRGPVPfVYTttO4PUGDdaFvbz-Ue0/edit?gid=1870218791#gid=1870218791"", ""Rev vs Mktg &amp; Mktg Mix!H"" &amp; ROW(G291))
"),-0.22000000000000003)</f>
        <v>-0.22</v>
      </c>
      <c r="I218" s="81">
        <f>IFERROR(__xludf.DUMMYFUNCTION("IMPORTRANGE(""https://docs.google.com/spreadsheets/d/1bozxp9FwhaCNzy-RRGPVPfVYTttO4PUGDdaFvbz-Ue0/edit?gid=1870218791#gid=1870218791"", ""Rev vs Mktg &amp; Mktg Mix!i"" &amp; ROW(I291))
"),-11.825)</f>
        <v>-11.825</v>
      </c>
      <c r="J218" s="81">
        <f>IFERROR(__xludf.DUMMYFUNCTION("IMPORTRANGE(""https://docs.google.com/spreadsheets/d/1bozxp9FwhaCNzy-RRGPVPfVYTttO4PUGDdaFvbz-Ue0/edit?gid=1870218791#gid=1870218791"", ""Rev vs Mktg &amp; Mktg Mix!J"" &amp; ROW(J291))
"),-3.5)</f>
        <v>-3.5</v>
      </c>
      <c r="K218" s="45">
        <f>VLOOKUP(VALUE(LEFT(A106, 4)), 'Raw Annual EBITDA'!A:K, 11, FALSE) / 4</f>
        <v>-363</v>
      </c>
      <c r="L218" s="81">
        <f>IFERROR(__xludf.DUMMYFUNCTION("IMPORTRANGE(""https://docs.google.com/spreadsheets/d/1bozxp9FwhaCNzy-RRGPVPfVYTttO4PUGDdaFvbz-Ue0/edit?gid=1870218791#gid=1870218791"", ""Rev vs Mktg &amp; Mktg Mix!L"" &amp; ROW(N291))
"),-15.1861281621)</f>
        <v>-15.18612816</v>
      </c>
      <c r="M218" s="84">
        <f>IFERROR(__xludf.DUMMYFUNCTION("IMPORTRANGE(""https://docs.google.com/spreadsheets/d/1bozxp9FwhaCNzy-RRGPVPfVYTttO4PUGDdaFvbz-Ue0/edit?gid=1870218791#gid=1870218791"", ""Rev vs Mktg &amp; Mktg Mix!M"" &amp; ROW(M291))
"),-8.5344)</f>
        <v>-8.5344</v>
      </c>
      <c r="N218" s="81">
        <f>IFERROR(__xludf.DUMMYFUNCTION("IMPORTRANGE(""https://docs.google.com/spreadsheets/d/1bozxp9FwhaCNzy-RRGPVPfVYTttO4PUGDdaFvbz-Ue0/edit?gid=1870218791#gid=1870218791"", ""Rev vs Mktg &amp; Mktg Mix!N"" &amp; ROW(N291))
"),0.6324)</f>
        <v>0.6324</v>
      </c>
      <c r="O218" s="57">
        <f>IFERROR(__xludf.DUMMYFUNCTION("IMPORTRANGE(""https://docs.google.com/spreadsheets/d/1bozxp9FwhaCNzy-RRGPVPfVYTttO4PUGDdaFvbz-Ue0/edit?gid=1870218791#gid=1870218791"", ""Rev vs Mktg &amp; Mktg Mix!O"" &amp; ROW(O291))
"),-10.270000000000003)</f>
        <v>-10.27</v>
      </c>
      <c r="P218" s="57">
        <f>IFERROR(__xludf.DUMMYFUNCTION("IMPORTRANGE(""https://docs.google.com/spreadsheets/d/1bozxp9FwhaCNzy-RRGPVPfVYTttO4PUGDdaFvbz-Ue0/edit?gid=1870218791#gid=1870218791"", ""Rev vs Mktg &amp; Mktg Mix!P"" &amp; ROW(P291))
"),2.4050000000000002)</f>
        <v>2.405</v>
      </c>
      <c r="Q218" s="43"/>
      <c r="R218" s="45"/>
      <c r="S218" s="45">
        <f>VLOOKUP(VALUE(LEFT(A218, 4)), 'Raw Annual EBITDA'!A:S, 19, FALSE) / 4</f>
        <v>-3798.025</v>
      </c>
      <c r="T218" s="45">
        <f>VLOOKUP(VALUE(LEFT(A221, 4)), 'Raw Annual EBITDA'!A:T, 20, FALSE) / 4</f>
        <v>4518</v>
      </c>
      <c r="U218" s="82">
        <f>IFERROR(__xludf.DUMMYFUNCTION("IMPORTRANGE(""https://docs.google.com/spreadsheets/d/1bozxp9FwhaCNzy-RRGPVPfVYTttO4PUGDdaFvbz-Ue0/edit?gid=1870218791#gid=1870218791"", ""Rev vs Mktg &amp; Mktg Mix!u"" &amp; ROW(Z291))
"),-1.472)</f>
        <v>-1.472</v>
      </c>
      <c r="V218" s="43"/>
      <c r="W218" s="43"/>
      <c r="X218" s="45">
        <f>VLOOKUP(VALUE(LEFT($A220, 4)), 'Raw Annual EBITDA'!$A:X, 24, FALSE) / 4
</f>
        <v>-80309.25</v>
      </c>
      <c r="Y218" s="45">
        <f>VLOOKUP(VALUE(LEFT($A218, 4)), 'Raw Annual EBITDA'!$A:Y, 25, FALSE) / 4</f>
        <v>9524.669</v>
      </c>
      <c r="Z218" s="45">
        <f>VLOOKUP(VALUE(LEFT($A218, 4)), 'Raw Annual EBITDA'!$A:Z, 26, FALSE) / 4</f>
        <v>10098.25</v>
      </c>
      <c r="AA218" s="45">
        <f>VLOOKUP(VALUE(LEFT($A218, 4)), 'Raw Annual EBITDA'!$A:AA, 27, FALSE) / 4</f>
        <v>2692</v>
      </c>
      <c r="AB218" s="45">
        <f>VLOOKUP(VALUE(LEFT($A218, 4)), 'Raw Annual EBITDA'!$A:AB, 28, FALSE) / 4</f>
        <v>-19327.75</v>
      </c>
      <c r="AC218" s="45">
        <f>VLOOKUP(VALUE(LEFT($A218, 4)), 'Raw Annual EBITDA'!$A:AC, 29, FALSE) / 4</f>
        <v>-24084.5</v>
      </c>
      <c r="AD218" s="43"/>
    </row>
    <row r="219">
      <c r="A219" s="42" t="s">
        <v>131</v>
      </c>
      <c r="B219" s="58">
        <f>IFERROR(__xludf.DUMMYFUNCTION("IMPORTRANGE(""https://docs.google.com/spreadsheets/d/1bozxp9FwhaCNzy-RRGPVPfVYTttO4PUGDdaFvbz-Ue0/edit?gid=1870218791#gid=1870218791"", ""Rev vs Mktg &amp; Mktg Mix!B"" &amp; ROW(B292))
"),383.111)</f>
        <v>383.111</v>
      </c>
      <c r="C219" s="80">
        <f>IFERROR(__xludf.DUMMYFUNCTION("IMPORTRANGE(""https://docs.google.com/spreadsheets/d/1bozxp9FwhaCNzy-RRGPVPfVYTttO4PUGDdaFvbz-Ue0/edit?gid=1870218791#gid=1870218791"", ""Rev vs Mktg &amp; Mktg Mix!C"" &amp; ROW(C292))
"),1144.0)</f>
        <v>1144</v>
      </c>
      <c r="D219" s="80">
        <f>IFERROR(__xludf.DUMMYFUNCTION("IMPORTRANGE(""https://docs.google.com/spreadsheets/d/1bozxp9FwhaCNzy-RRGPVPfVYTttO4PUGDdaFvbz-Ue0/edit?gid=1870218791#gid=1870218791"", ""Rev vs Mktg &amp; Mktg Mix!D"" &amp; ROW(D292))
"),615.0)</f>
        <v>615</v>
      </c>
      <c r="E219" s="80">
        <f>IFERROR(__xludf.DUMMYFUNCTION("IMPORTRANGE(""https://docs.google.com/spreadsheets/d/1bozxp9FwhaCNzy-RRGPVPfVYTttO4PUGDdaFvbz-Ue0/edit?gid=1870218791#gid=1870218791"", ""Rev vs Mktg &amp; Mktg Mix!E"" &amp; ROW(E292))
"),74.0)</f>
        <v>74</v>
      </c>
      <c r="F219" s="80">
        <f>IFERROR(__xludf.DUMMYFUNCTION("IMPORTRANGE(""https://docs.google.com/spreadsheets/d/1bozxp9FwhaCNzy-RRGPVPfVYTttO4PUGDdaFvbz-Ue0/edit?gid=1870218791#gid=1870218791"", ""Rev vs Mktg &amp; Mktg Mix!F"" &amp; ROW(F292))
"),53.0)</f>
        <v>53</v>
      </c>
      <c r="G219" s="81">
        <f>IFERROR(__xludf.DUMMYFUNCTION("IMPORTRANGE(""https://docs.google.com/spreadsheets/d/1bozxp9FwhaCNzy-RRGPVPfVYTttO4PUGDdaFvbz-Ue0/edit?gid=1870218791#gid=1870218791"", ""Rev vs Mktg &amp; Mktg Mix!G"" &amp; ROW(G292))
"),-59.54)</f>
        <v>-59.54</v>
      </c>
      <c r="H219" s="54">
        <f>IFERROR(__xludf.DUMMYFUNCTION("IMPORTRANGE(""https://docs.google.com/spreadsheets/d/1bozxp9FwhaCNzy-RRGPVPfVYTttO4PUGDdaFvbz-Ue0/edit?gid=1870218791#gid=1870218791"", ""Rev vs Mktg &amp; Mktg Mix!H"" &amp; ROW(G292))
"),-1.9800000000000002)</f>
        <v>-1.98</v>
      </c>
      <c r="I219" s="81">
        <f>IFERROR(__xludf.DUMMYFUNCTION("IMPORTRANGE(""https://docs.google.com/spreadsheets/d/1bozxp9FwhaCNzy-RRGPVPfVYTttO4PUGDdaFvbz-Ue0/edit?gid=1870218791#gid=1870218791"", ""Rev vs Mktg &amp; Mktg Mix!i"" &amp; ROW(I292))
"),-11.899)</f>
        <v>-11.899</v>
      </c>
      <c r="J219" s="81">
        <f>IFERROR(__xludf.DUMMYFUNCTION("IMPORTRANGE(""https://docs.google.com/spreadsheets/d/1bozxp9FwhaCNzy-RRGPVPfVYTttO4PUGDdaFvbz-Ue0/edit?gid=1870218791#gid=1870218791"", ""Rev vs Mktg &amp; Mktg Mix!J"" &amp; ROW(J292))
"),-10.123)</f>
        <v>-10.123</v>
      </c>
      <c r="K219" s="45">
        <f>VLOOKUP(VALUE(LEFT(A107, 4)), 'Raw Annual EBITDA'!A:K, 11, FALSE) / 4</f>
        <v>1191</v>
      </c>
      <c r="L219" s="81">
        <f>IFERROR(__xludf.DUMMYFUNCTION("IMPORTRANGE(""https://docs.google.com/spreadsheets/d/1bozxp9FwhaCNzy-RRGPVPfVYTttO4PUGDdaFvbz-Ue0/edit?gid=1870218791#gid=1870218791"", ""Rev vs Mktg &amp; Mktg Mix!L"" &amp; ROW(N292))
"),-16.7269076688)</f>
        <v>-16.72690767</v>
      </c>
      <c r="M219" s="83">
        <f>IFERROR(__xludf.DUMMYFUNCTION("IMPORTRANGE(""https://docs.google.com/spreadsheets/d/1bozxp9FwhaCNzy-RRGPVPfVYTttO4PUGDdaFvbz-Ue0/edit?gid=1870218791#gid=1870218791"", ""Rev vs Mktg &amp; Mktg Mix!M"" &amp; ROW(M292))
"),-13.84173)</f>
        <v>-13.84173</v>
      </c>
      <c r="N219" s="81">
        <f>IFERROR(__xludf.DUMMYFUNCTION("IMPORTRANGE(""https://docs.google.com/spreadsheets/d/1bozxp9FwhaCNzy-RRGPVPfVYTttO4PUGDdaFvbz-Ue0/edit?gid=1870218791#gid=1870218791"", ""Rev vs Mktg &amp; Mktg Mix!N"" &amp; ROW(N292))
"),1.688)</f>
        <v>1.688</v>
      </c>
      <c r="O219" s="57">
        <f>IFERROR(__xludf.DUMMYFUNCTION("IMPORTRANGE(""https://docs.google.com/spreadsheets/d/1bozxp9FwhaCNzy-RRGPVPfVYTttO4PUGDdaFvbz-Ue0/edit?gid=1870218791#gid=1870218791"", ""Rev vs Mktg &amp; Mktg Mix!O"" &amp; ROW(O292))
"),1.3650000000000002)</f>
        <v>1.365</v>
      </c>
      <c r="P219" s="57">
        <f>IFERROR(__xludf.DUMMYFUNCTION("IMPORTRANGE(""https://docs.google.com/spreadsheets/d/1bozxp9FwhaCNzy-RRGPVPfVYTttO4PUGDdaFvbz-Ue0/edit?gid=1870218791#gid=1870218791"", ""Rev vs Mktg &amp; Mktg Mix!P"" &amp; ROW(P292))
"),6.955)</f>
        <v>6.955</v>
      </c>
      <c r="Q219" s="43"/>
      <c r="R219" s="45"/>
      <c r="S219" s="45">
        <f>VLOOKUP(VALUE(LEFT(A219, 4)), 'Raw Annual EBITDA'!A:S, 19, FALSE) / 4</f>
        <v>-3798.025</v>
      </c>
      <c r="T219" s="67">
        <f>IFERROR(__xludf.DUMMYFUNCTION("IMPORTRANGE(""https://docs.google.com/spreadsheets/d/1bozxp9FwhaCNzy-RRGPVPfVYTttO4PUGDdaFvbz-Ue0/edit?gid=1870218791#gid=1870218791"", ""Rev vs Mktg &amp; Mktg Mix!T"" &amp; ROW(Y292))*1000
"),5294.235294117647)</f>
        <v>5294.235294</v>
      </c>
      <c r="U219" s="82">
        <f>IFERROR(__xludf.DUMMYFUNCTION("IMPORTRANGE(""https://docs.google.com/spreadsheets/d/1bozxp9FwhaCNzy-RRGPVPfVYTttO4PUGDdaFvbz-Ue0/edit?gid=1870218791#gid=1870218791"", ""Rev vs Mktg &amp; Mktg Mix!u"" &amp; ROW(Z292))
"),0.022)</f>
        <v>0.022</v>
      </c>
      <c r="V219" s="43"/>
      <c r="W219" s="43"/>
      <c r="X219" s="45">
        <f>VLOOKUP(VALUE(LEFT($A221, 4)), 'Raw Annual EBITDA'!$A:X, 24, FALSE) / 4
</f>
        <v>-80309.25</v>
      </c>
      <c r="Y219" s="45">
        <f>VLOOKUP(VALUE(LEFT($A219, 4)), 'Raw Annual EBITDA'!$A:Y, 25, FALSE) / 4</f>
        <v>9524.669</v>
      </c>
      <c r="Z219" s="45">
        <f>VLOOKUP(VALUE(LEFT($A219, 4)), 'Raw Annual EBITDA'!$A:Z, 26, FALSE) / 4</f>
        <v>10098.25</v>
      </c>
      <c r="AA219" s="45">
        <f>VLOOKUP(VALUE(LEFT($A219, 4)), 'Raw Annual EBITDA'!$A:AA, 27, FALSE) / 4</f>
        <v>2692</v>
      </c>
      <c r="AB219" s="45">
        <f>VLOOKUP(VALUE(LEFT($A219, 4)), 'Raw Annual EBITDA'!$A:AB, 28, FALSE) / 4</f>
        <v>-19327.75</v>
      </c>
      <c r="AC219" s="45">
        <f>VLOOKUP(VALUE(LEFT($A219, 4)), 'Raw Annual EBITDA'!$A:AC, 29, FALSE) / 4</f>
        <v>-24084.5</v>
      </c>
      <c r="AD219" s="43"/>
    </row>
    <row r="220">
      <c r="A220" s="42" t="s">
        <v>132</v>
      </c>
      <c r="B220" s="58">
        <f>IFERROR(__xludf.DUMMYFUNCTION("IMPORTRANGE(""https://docs.google.com/spreadsheets/d/1bozxp9FwhaCNzy-RRGPVPfVYTttO4PUGDdaFvbz-Ue0/edit?gid=1870218791#gid=1870218791"", ""Rev vs Mktg &amp; Mktg Mix!B"" &amp; ROW(B293))
"),1269.899)</f>
        <v>1269.899</v>
      </c>
      <c r="C220" s="80">
        <f>IFERROR(__xludf.DUMMYFUNCTION("IMPORTRANGE(""https://docs.google.com/spreadsheets/d/1bozxp9FwhaCNzy-RRGPVPfVYTttO4PUGDdaFvbz-Ue0/edit?gid=1870218791#gid=1870218791"", ""Rev vs Mktg &amp; Mktg Mix!C"" &amp; ROW(C293))
"),2176.0)</f>
        <v>2176</v>
      </c>
      <c r="D220" s="80">
        <f>IFERROR(__xludf.DUMMYFUNCTION("IMPORTRANGE(""https://docs.google.com/spreadsheets/d/1bozxp9FwhaCNzy-RRGPVPfVYTttO4PUGDdaFvbz-Ue0/edit?gid=1870218791#gid=1870218791"", ""Rev vs Mktg &amp; Mktg Mix!D"" &amp; ROW(D293))
"),1045.0)</f>
        <v>1045</v>
      </c>
      <c r="E220" s="80">
        <f>IFERROR(__xludf.DUMMYFUNCTION("IMPORTRANGE(""https://docs.google.com/spreadsheets/d/1bozxp9FwhaCNzy-RRGPVPfVYTttO4PUGDdaFvbz-Ue0/edit?gid=1870218791#gid=1870218791"", ""Rev vs Mktg &amp; Mktg Mix!E"" &amp; ROW(E293))
"),59.0)</f>
        <v>59</v>
      </c>
      <c r="F220" s="80">
        <f>IFERROR(__xludf.DUMMYFUNCTION("IMPORTRANGE(""https://docs.google.com/spreadsheets/d/1bozxp9FwhaCNzy-RRGPVPfVYTttO4PUGDdaFvbz-Ue0/edit?gid=1870218791#gid=1870218791"", ""Rev vs Mktg &amp; Mktg Mix!F"" &amp; ROW(F293))
"),62.0)</f>
        <v>62</v>
      </c>
      <c r="G220" s="81">
        <f>IFERROR(__xludf.DUMMYFUNCTION("IMPORTRANGE(""https://docs.google.com/spreadsheets/d/1bozxp9FwhaCNzy-RRGPVPfVYTttO4PUGDdaFvbz-Ue0/edit?gid=1870218791#gid=1870218791"", ""Rev vs Mktg &amp; Mktg Mix!G"" &amp; ROW(G293))
"),-73.0)</f>
        <v>-73</v>
      </c>
      <c r="H220" s="54">
        <f>IFERROR(__xludf.DUMMYFUNCTION("IMPORTRANGE(""https://docs.google.com/spreadsheets/d/1bozxp9FwhaCNzy-RRGPVPfVYTttO4PUGDdaFvbz-Ue0/edit?gid=1870218791#gid=1870218791"", ""Rev vs Mktg &amp; Mktg Mix!H"" &amp; ROW(G293))
"),3.19)</f>
        <v>3.19</v>
      </c>
      <c r="I220" s="81">
        <f>IFERROR(__xludf.DUMMYFUNCTION("IMPORTRANGE(""https://docs.google.com/spreadsheets/d/1bozxp9FwhaCNzy-RRGPVPfVYTttO4PUGDdaFvbz-Ue0/edit?gid=1870218791#gid=1870218791"", ""Rev vs Mktg &amp; Mktg Mix!i"" &amp; ROW(I293))
"),-14.054)</f>
        <v>-14.054</v>
      </c>
      <c r="J220" s="81">
        <f>IFERROR(__xludf.DUMMYFUNCTION("IMPORTRANGE(""https://docs.google.com/spreadsheets/d/1bozxp9FwhaCNzy-RRGPVPfVYTttO4PUGDdaFvbz-Ue0/edit?gid=1870218791#gid=1870218791"", ""Rev vs Mktg &amp; Mktg Mix!J"" &amp; ROW(J293))
"),-7.17)</f>
        <v>-7.17</v>
      </c>
      <c r="K220" s="45">
        <f>VLOOKUP(VALUE(LEFT(A108, 4)), 'Raw Annual EBITDA'!A:K, 11, FALSE) / 4</f>
        <v>1191</v>
      </c>
      <c r="L220" s="81">
        <f>IFERROR(__xludf.DUMMYFUNCTION("IMPORTRANGE(""https://docs.google.com/spreadsheets/d/1bozxp9FwhaCNzy-RRGPVPfVYTttO4PUGDdaFvbz-Ue0/edit?gid=1870218791#gid=1870218791"", ""Rev vs Mktg &amp; Mktg Mix!L"" &amp; ROW(N293))
"),15.996464641500001)</f>
        <v>15.99646464</v>
      </c>
      <c r="M220" s="83">
        <f>IFERROR(__xludf.DUMMYFUNCTION("IMPORTRANGE(""https://docs.google.com/spreadsheets/d/1bozxp9FwhaCNzy-RRGPVPfVYTttO4PUGDdaFvbz-Ue0/edit?gid=1870218791#gid=1870218791"", ""Rev vs Mktg &amp; Mktg Mix!M"" &amp; ROW(M293))
"),-2.77368)</f>
        <v>-2.77368</v>
      </c>
      <c r="N220" s="81">
        <f>IFERROR(__xludf.DUMMYFUNCTION("IMPORTRANGE(""https://docs.google.com/spreadsheets/d/1bozxp9FwhaCNzy-RRGPVPfVYTttO4PUGDdaFvbz-Ue0/edit?gid=1870218791#gid=1870218791"", ""Rev vs Mktg &amp; Mktg Mix!N"" &amp; ROW(N293))
"),1.8974)</f>
        <v>1.8974</v>
      </c>
      <c r="O220" s="57">
        <f>IFERROR(__xludf.DUMMYFUNCTION("IMPORTRANGE(""https://docs.google.com/spreadsheets/d/1bozxp9FwhaCNzy-RRGPVPfVYTttO4PUGDdaFvbz-Ue0/edit?gid=1870218791#gid=1870218791"", ""Rev vs Mktg &amp; Mktg Mix!O"" &amp; ROW(O293))
"),1.3650000000000002)</f>
        <v>1.365</v>
      </c>
      <c r="P220" s="57">
        <f>IFERROR(__xludf.DUMMYFUNCTION("IMPORTRANGE(""https://docs.google.com/spreadsheets/d/1bozxp9FwhaCNzy-RRGPVPfVYTttO4PUGDdaFvbz-Ue0/edit?gid=1870218791#gid=1870218791"", ""Rev vs Mktg &amp; Mktg Mix!P"" &amp; ROW(P293))
"),6.955)</f>
        <v>6.955</v>
      </c>
      <c r="Q220" s="43"/>
      <c r="R220" s="45"/>
      <c r="S220" s="45">
        <f>VLOOKUP(VALUE(LEFT(A220, 4)), 'Raw Annual EBITDA'!A:S, 19, FALSE) / 4</f>
        <v>-3798.025</v>
      </c>
      <c r="T220" s="68">
        <f>IFERROR(__xludf.DUMMYFUNCTION("IMPORTRANGE(""https://docs.google.com/spreadsheets/d/1bozxp9FwhaCNzy-RRGPVPfVYTttO4PUGDdaFvbz-Ue0/edit?gid=1870218791#gid=1870218791"", ""Rev vs Mktg &amp; Mktg Mix!T"" &amp; ROW(Y293))*1000
"),4856.941176470588)</f>
        <v>4856.941176</v>
      </c>
      <c r="U220" s="82">
        <f>IFERROR(__xludf.DUMMYFUNCTION("IMPORTRANGE(""https://docs.google.com/spreadsheets/d/1bozxp9FwhaCNzy-RRGPVPfVYTttO4PUGDdaFvbz-Ue0/edit?gid=1870218791#gid=1870218791"", ""Rev vs Mktg &amp; Mktg Mix!u"" &amp; ROW(Z293))
"),-0.768)</f>
        <v>-0.768</v>
      </c>
      <c r="V220" s="43"/>
      <c r="W220" s="43"/>
      <c r="X220" s="45">
        <f>VLOOKUP(VALUE(LEFT($A222, 4)), 'Raw Annual EBITDA'!$A:X, 24, FALSE) / 4
</f>
        <v>-38088.25</v>
      </c>
      <c r="Y220" s="45">
        <f>VLOOKUP(VALUE(LEFT($A220, 4)), 'Raw Annual EBITDA'!$A:Y, 25, FALSE) / 4</f>
        <v>9524.669</v>
      </c>
      <c r="Z220" s="45">
        <f>VLOOKUP(VALUE(LEFT($A220, 4)), 'Raw Annual EBITDA'!$A:Z, 26, FALSE) / 4</f>
        <v>10098.25</v>
      </c>
      <c r="AA220" s="45">
        <f>VLOOKUP(VALUE(LEFT($A220, 4)), 'Raw Annual EBITDA'!$A:AA, 27, FALSE) / 4</f>
        <v>2692</v>
      </c>
      <c r="AB220" s="45">
        <f>VLOOKUP(VALUE(LEFT($A220, 4)), 'Raw Annual EBITDA'!$A:AB, 28, FALSE) / 4</f>
        <v>-19327.75</v>
      </c>
      <c r="AC220" s="45">
        <f>VLOOKUP(VALUE(LEFT($A220, 4)), 'Raw Annual EBITDA'!$A:AC, 29, FALSE) / 4</f>
        <v>-24084.5</v>
      </c>
      <c r="AD220" s="43"/>
    </row>
    <row r="221">
      <c r="A221" s="42" t="s">
        <v>133</v>
      </c>
      <c r="B221" s="58">
        <f>IFERROR(__xludf.DUMMYFUNCTION("IMPORTRANGE(""https://docs.google.com/spreadsheets/d/1bozxp9FwhaCNzy-RRGPVPfVYTttO4PUGDdaFvbz-Ue0/edit?gid=1870218791#gid=1870218791"", ""Rev vs Mktg &amp; Mktg Mix!B"" &amp; ROW(B294))
"),344.0)</f>
        <v>344</v>
      </c>
      <c r="C221" s="80">
        <f>IFERROR(__xludf.DUMMYFUNCTION("IMPORTRANGE(""https://docs.google.com/spreadsheets/d/1bozxp9FwhaCNzy-RRGPVPfVYTttO4PUGDdaFvbz-Ue0/edit?gid=1870218791#gid=1870218791"", ""Rev vs Mktg &amp; Mktg Mix!C"" &amp; ROW(C294))
"),1452.0)</f>
        <v>1452</v>
      </c>
      <c r="D221" s="80">
        <f>IFERROR(__xludf.DUMMYFUNCTION("IMPORTRANGE(""https://docs.google.com/spreadsheets/d/1bozxp9FwhaCNzy-RRGPVPfVYTttO4PUGDdaFvbz-Ue0/edit?gid=1870218791#gid=1870218791"", ""Rev vs Mktg &amp; Mktg Mix!D"" &amp; ROW(D294))
"),428.0)</f>
        <v>428</v>
      </c>
      <c r="E221" s="80">
        <f>IFERROR(__xludf.DUMMYFUNCTION("IMPORTRANGE(""https://docs.google.com/spreadsheets/d/1bozxp9FwhaCNzy-RRGPVPfVYTttO4PUGDdaFvbz-Ue0/edit?gid=1870218791#gid=1870218791"", ""Rev vs Mktg &amp; Mktg Mix!E"" &amp; ROW(E294))
"),368.0)</f>
        <v>368</v>
      </c>
      <c r="F221" s="80">
        <f>IFERROR(__xludf.DUMMYFUNCTION("IMPORTRANGE(""https://docs.google.com/spreadsheets/d/1bozxp9FwhaCNzy-RRGPVPfVYTttO4PUGDdaFvbz-Ue0/edit?gid=1870218791#gid=1870218791"", ""Rev vs Mktg &amp; Mktg Mix!F"" &amp; ROW(F294))
"),-16.0)</f>
        <v>-16</v>
      </c>
      <c r="G221" s="81">
        <f>IFERROR(__xludf.DUMMYFUNCTION("IMPORTRANGE(""https://docs.google.com/spreadsheets/d/1bozxp9FwhaCNzy-RRGPVPfVYTttO4PUGDdaFvbz-Ue0/edit?gid=1870218791#gid=1870218791"", ""Rev vs Mktg &amp; Mktg Mix!G"" &amp; ROW(G294))
"),16.9)</f>
        <v>16.9</v>
      </c>
      <c r="H221" s="54">
        <f>IFERROR(__xludf.DUMMYFUNCTION("IMPORTRANGE(""https://docs.google.com/spreadsheets/d/1bozxp9FwhaCNzy-RRGPVPfVYTttO4PUGDdaFvbz-Ue0/edit?gid=1870218791#gid=1870218791"", ""Rev vs Mktg &amp; Mktg Mix!H"" &amp; ROW(G294))
"),6.930000000000001)</f>
        <v>6.93</v>
      </c>
      <c r="I221" s="81">
        <f>IFERROR(__xludf.DUMMYFUNCTION("IMPORTRANGE(""https://docs.google.com/spreadsheets/d/1bozxp9FwhaCNzy-RRGPVPfVYTttO4PUGDdaFvbz-Ue0/edit?gid=1870218791#gid=1870218791"", ""Rev vs Mktg &amp; Mktg Mix!i"" &amp; ROW(I294))
"),-9.442)</f>
        <v>-9.442</v>
      </c>
      <c r="J221" s="81">
        <f>IFERROR(__xludf.DUMMYFUNCTION("IMPORTRANGE(""https://docs.google.com/spreadsheets/d/1bozxp9FwhaCNzy-RRGPVPfVYTttO4PUGDdaFvbz-Ue0/edit?gid=1870218791#gid=1870218791"", ""Rev vs Mktg &amp; Mktg Mix!J"" &amp; ROW(J294))
"),-0.207)</f>
        <v>-0.207</v>
      </c>
      <c r="K221" s="45">
        <f>VLOOKUP(VALUE(LEFT(A109, 4)), 'Raw Annual EBITDA'!A:K, 11, FALSE) / 4</f>
        <v>1191</v>
      </c>
      <c r="L221" s="81">
        <f>IFERROR(__xludf.DUMMYFUNCTION("IMPORTRANGE(""https://docs.google.com/spreadsheets/d/1bozxp9FwhaCNzy-RRGPVPfVYTttO4PUGDdaFvbz-Ue0/edit?gid=1870218791#gid=1870218791"", ""Rev vs Mktg &amp; Mktg Mix!L"" &amp; ROW(N294))
"),2.241415075199998)</f>
        <v>2.241415075</v>
      </c>
      <c r="M221" s="83">
        <f>IFERROR(__xludf.DUMMYFUNCTION("IMPORTRANGE(""https://docs.google.com/spreadsheets/d/1bozxp9FwhaCNzy-RRGPVPfVYTttO4PUGDdaFvbz-Ue0/edit?gid=1870218791#gid=1870218791"", ""Rev vs Mktg &amp; Mktg Mix!M"" &amp; ROW(M294))
"),-0.7200899999999969)</f>
        <v>-0.72009</v>
      </c>
      <c r="N221" s="81">
        <f>IFERROR(__xludf.DUMMYFUNCTION("IMPORTRANGE(""https://docs.google.com/spreadsheets/d/1bozxp9FwhaCNzy-RRGPVPfVYTttO4PUGDdaFvbz-Ue0/edit?gid=1870218791#gid=1870218791"", ""Rev vs Mktg &amp; Mktg Mix!N"" &amp; ROW(N294))
"),0.1512)</f>
        <v>0.1512</v>
      </c>
      <c r="O221" s="57">
        <f>IFERROR(__xludf.DUMMYFUNCTION("IMPORTRANGE(""https://docs.google.com/spreadsheets/d/1bozxp9FwhaCNzy-RRGPVPfVYTttO4PUGDdaFvbz-Ue0/edit?gid=1870218791#gid=1870218791"", ""Rev vs Mktg &amp; Mktg Mix!O"" &amp; ROW(O294))
"),4.745000000000001)</f>
        <v>4.745</v>
      </c>
      <c r="P221" s="57">
        <f>IFERROR(__xludf.DUMMYFUNCTION("IMPORTRANGE(""https://docs.google.com/spreadsheets/d/1bozxp9FwhaCNzy-RRGPVPfVYTttO4PUGDdaFvbz-Ue0/edit?gid=1870218791#gid=1870218791"", ""Rev vs Mktg &amp; Mktg Mix!P"" &amp; ROW(P294))
"),7.15)</f>
        <v>7.15</v>
      </c>
      <c r="Q221" s="43"/>
      <c r="R221" s="45"/>
      <c r="S221" s="45">
        <f>VLOOKUP(VALUE(LEFT(A221, 4)), 'Raw Annual EBITDA'!A:S, 19, FALSE) / 4</f>
        <v>-3798.025</v>
      </c>
      <c r="T221" s="68">
        <f>IFERROR(__xludf.DUMMYFUNCTION("IMPORTRANGE(""https://docs.google.com/spreadsheets/d/1bozxp9FwhaCNzy-RRGPVPfVYTttO4PUGDdaFvbz-Ue0/edit?gid=1870218791#gid=1870218791"", ""Rev vs Mktg &amp; Mktg Mix!T"" &amp; ROW(Y294))*1000
"),7104.117647058823)</f>
        <v>7104.117647</v>
      </c>
      <c r="U221" s="82">
        <f>IFERROR(__xludf.DUMMYFUNCTION("IMPORTRANGE(""https://docs.google.com/spreadsheets/d/1bozxp9FwhaCNzy-RRGPVPfVYTttO4PUGDdaFvbz-Ue0/edit?gid=1870218791#gid=1870218791"", ""Rev vs Mktg &amp; Mktg Mix!u"" &amp; ROW(Z294))
"),-2.467)</f>
        <v>-2.467</v>
      </c>
      <c r="V221" s="43"/>
      <c r="W221" s="43"/>
      <c r="X221" s="45">
        <f>VLOOKUP(VALUE(LEFT($A223, 4)), 'Raw Annual EBITDA'!$A:X, 24, FALSE) / 4
</f>
        <v>-38088.25</v>
      </c>
      <c r="Y221" s="45">
        <f>VLOOKUP(VALUE(LEFT($A221, 4)), 'Raw Annual EBITDA'!$A:Y, 25, FALSE) / 4</f>
        <v>9524.669</v>
      </c>
      <c r="Z221" s="45">
        <f>VLOOKUP(VALUE(LEFT($A221, 4)), 'Raw Annual EBITDA'!$A:Z, 26, FALSE) / 4</f>
        <v>10098.25</v>
      </c>
      <c r="AA221" s="45">
        <f>VLOOKUP(VALUE(LEFT($A221, 4)), 'Raw Annual EBITDA'!$A:AA, 27, FALSE) / 4</f>
        <v>2692</v>
      </c>
      <c r="AB221" s="45">
        <f>VLOOKUP(VALUE(LEFT($A221, 4)), 'Raw Annual EBITDA'!$A:AB, 28, FALSE) / 4</f>
        <v>-19327.75</v>
      </c>
      <c r="AC221" s="45">
        <f>VLOOKUP(VALUE(LEFT($A221, 4)), 'Raw Annual EBITDA'!$A:AC, 29, FALSE) / 4</f>
        <v>-24084.5</v>
      </c>
      <c r="AD221" s="43"/>
    </row>
    <row r="222">
      <c r="A222" s="42" t="s">
        <v>134</v>
      </c>
      <c r="B222" s="58">
        <f>IFERROR(__xludf.DUMMYFUNCTION("IMPORTRANGE(""https://docs.google.com/spreadsheets/d/1bozxp9FwhaCNzy-RRGPVPfVYTttO4PUGDdaFvbz-Ue0/edit?gid=1870218791#gid=1870218791"", ""Rev vs Mktg &amp; Mktg Mix!B"" &amp; ROW(B295))
"),130.0)</f>
        <v>130</v>
      </c>
      <c r="C222" s="80">
        <f>IFERROR(__xludf.DUMMYFUNCTION("IMPORTRANGE(""https://docs.google.com/spreadsheets/d/1bozxp9FwhaCNzy-RRGPVPfVYTttO4PUGDdaFvbz-Ue0/edit?gid=1870218791#gid=1870218791"", ""Rev vs Mktg &amp; Mktg Mix!C"" &amp; ROW(C295))
"),303.0)</f>
        <v>303</v>
      </c>
      <c r="D222" s="80">
        <f>IFERROR(__xludf.DUMMYFUNCTION("IMPORTRANGE(""https://docs.google.com/spreadsheets/d/1bozxp9FwhaCNzy-RRGPVPfVYTttO4PUGDdaFvbz-Ue0/edit?gid=1870218791#gid=1870218791"", ""Rev vs Mktg &amp; Mktg Mix!D"" &amp; ROW(D295))
"),281.0)</f>
        <v>281</v>
      </c>
      <c r="E222" s="80">
        <f>IFERROR(__xludf.DUMMYFUNCTION("IMPORTRANGE(""https://docs.google.com/spreadsheets/d/1bozxp9FwhaCNzy-RRGPVPfVYTttO4PUGDdaFvbz-Ue0/edit?gid=1870218791#gid=1870218791"", ""Rev vs Mktg &amp; Mktg Mix!E"" &amp; ROW(E295))
"),560.0)</f>
        <v>560</v>
      </c>
      <c r="F222" s="80">
        <f>IFERROR(__xludf.DUMMYFUNCTION("IMPORTRANGE(""https://docs.google.com/spreadsheets/d/1bozxp9FwhaCNzy-RRGPVPfVYTttO4PUGDdaFvbz-Ue0/edit?gid=1870218791#gid=1870218791"", ""Rev vs Mktg &amp; Mktg Mix!F"" &amp; ROW(F295))
"),-15.0)</f>
        <v>-15</v>
      </c>
      <c r="G222" s="81">
        <f>IFERROR(__xludf.DUMMYFUNCTION("IMPORTRANGE(""https://docs.google.com/spreadsheets/d/1bozxp9FwhaCNzy-RRGPVPfVYTttO4PUGDdaFvbz-Ue0/edit?gid=1870218791#gid=1870218791"", ""Rev vs Mktg &amp; Mktg Mix!G"" &amp; ROW(G295))
"),15.56)</f>
        <v>15.56</v>
      </c>
      <c r="H222" s="54">
        <f>IFERROR(__xludf.DUMMYFUNCTION("IMPORTRANGE(""https://docs.google.com/spreadsheets/d/1bozxp9FwhaCNzy-RRGPVPfVYTttO4PUGDdaFvbz-Ue0/edit?gid=1870218791#gid=1870218791"", ""Rev vs Mktg &amp; Mktg Mix!H"" &amp; ROW(G295))
"),18.480000000000004)</f>
        <v>18.48</v>
      </c>
      <c r="I222" s="81">
        <f>IFERROR(__xludf.DUMMYFUNCTION("IMPORTRANGE(""https://docs.google.com/spreadsheets/d/1bozxp9FwhaCNzy-RRGPVPfVYTttO4PUGDdaFvbz-Ue0/edit?gid=1870218791#gid=1870218791"", ""Rev vs Mktg &amp; Mktg Mix!i"" &amp; ROW(I295))
"),-5.337)</f>
        <v>-5.337</v>
      </c>
      <c r="J222" s="81">
        <f>IFERROR(__xludf.DUMMYFUNCTION("IMPORTRANGE(""https://docs.google.com/spreadsheets/d/1bozxp9FwhaCNzy-RRGPVPfVYTttO4PUGDdaFvbz-Ue0/edit?gid=1870218791#gid=1870218791"", ""Rev vs Mktg &amp; Mktg Mix!J"" &amp; ROW(J295))
"),5.356)</f>
        <v>5.356</v>
      </c>
      <c r="K222" s="67">
        <f>IFERROR(__xludf.DUMMYFUNCTION("IMPORTRANGE(""https://docs.google.com/spreadsheets/d/1bozxp9FwhaCNzy-RRGPVPfVYTttO4PUGDdaFvbz-Ue0/edit?gid=1870218791#gid=1870218791"", ""Rev vs Mktg &amp; Mktg Mix!K"" &amp; ROW(K295))*1000
"),1382.3529411764705)</f>
        <v>1382.352941</v>
      </c>
      <c r="L222" s="81">
        <f>IFERROR(__xludf.DUMMYFUNCTION("IMPORTRANGE(""https://docs.google.com/spreadsheets/d/1bozxp9FwhaCNzy-RRGPVPfVYTttO4PUGDdaFvbz-Ue0/edit?gid=1870218791#gid=1870218791"", ""Rev vs Mktg &amp; Mktg Mix!L"" &amp; ROW(N295))
"),17.0244973962)</f>
        <v>17.0244974</v>
      </c>
      <c r="M222" s="83">
        <f>IFERROR(__xludf.DUMMYFUNCTION("IMPORTRANGE(""https://docs.google.com/spreadsheets/d/1bozxp9FwhaCNzy-RRGPVPfVYTttO4PUGDdaFvbz-Ue0/edit?gid=1870218791#gid=1870218791"", ""Rev vs Mktg &amp; Mktg Mix!M"" &amp; ROW(M295))
"),0.0838528803)</f>
        <v>0.0838528803</v>
      </c>
      <c r="N222" s="81">
        <f>IFERROR(__xludf.DUMMYFUNCTION("IMPORTRANGE(""https://docs.google.com/spreadsheets/d/1bozxp9FwhaCNzy-RRGPVPfVYTttO4PUGDdaFvbz-Ue0/edit?gid=1870218791#gid=1870218791"", ""Rev vs Mktg &amp; Mktg Mix!N"" &amp; ROW(N295))
"),0.871)</f>
        <v>0.871</v>
      </c>
      <c r="O222" s="57">
        <f>IFERROR(__xludf.DUMMYFUNCTION("IMPORTRANGE(""https://docs.google.com/spreadsheets/d/1bozxp9FwhaCNzy-RRGPVPfVYTttO4PUGDdaFvbz-Ue0/edit?gid=1870218791#gid=1870218791"", ""Rev vs Mktg &amp; Mktg Mix!O"" &amp; ROW(O295))
"),4.745000000000001)</f>
        <v>4.745</v>
      </c>
      <c r="P222" s="57">
        <f>IFERROR(__xludf.DUMMYFUNCTION("IMPORTRANGE(""https://docs.google.com/spreadsheets/d/1bozxp9FwhaCNzy-RRGPVPfVYTttO4PUGDdaFvbz-Ue0/edit?gid=1870218791#gid=1870218791"", ""Rev vs Mktg &amp; Mktg Mix!P"" &amp; ROW(P295))
"),7.15)</f>
        <v>7.15</v>
      </c>
      <c r="Q222" s="43"/>
      <c r="R222" s="67"/>
      <c r="S222" s="67">
        <f>IFERROR(__xludf.DUMMYFUNCTION("IMPORTRANGE(""https://docs.google.com/spreadsheets/d/1bozxp9FwhaCNzy-RRGPVPfVYTttO4PUGDdaFvbz-Ue0/edit?gid=1870218791#gid=1870218791"", ""Rev vs Mktg &amp; Mktg Mix!S"" &amp; ROW(T295))*1000
"),10230.000000000002)</f>
        <v>10230</v>
      </c>
      <c r="T222" s="68">
        <f>IFERROR(__xludf.DUMMYFUNCTION("IMPORTRANGE(""https://docs.google.com/spreadsheets/d/1bozxp9FwhaCNzy-RRGPVPfVYTttO4PUGDdaFvbz-Ue0/edit?gid=1870218791#gid=1870218791"", ""Rev vs Mktg &amp; Mktg Mix!T"" &amp; ROW(Y295))*1000
"),5952.823529411765)</f>
        <v>5952.823529</v>
      </c>
      <c r="U222" s="82">
        <f>IFERROR(__xludf.DUMMYFUNCTION("IMPORTRANGE(""https://docs.google.com/spreadsheets/d/1bozxp9FwhaCNzy-RRGPVPfVYTttO4PUGDdaFvbz-Ue0/edit?gid=1870218791#gid=1870218791"", ""Rev vs Mktg &amp; Mktg Mix!u"" &amp; ROW(Z295))
"),0.284)</f>
        <v>0.284</v>
      </c>
      <c r="V222" s="43"/>
      <c r="W222" s="43"/>
      <c r="X222" s="45">
        <f>VLOOKUP(VALUE(LEFT($A224, 4)), 'Raw Annual EBITDA'!$A:X, 24, FALSE) / 4
</f>
        <v>-38088.25</v>
      </c>
      <c r="Y222" s="45">
        <f>VLOOKUP(VALUE(LEFT($A222, 4)), 'Raw Annual EBITDA'!$A:Y, 25, FALSE) / 4</f>
        <v>29765</v>
      </c>
      <c r="Z222" s="45">
        <f>VLOOKUP(VALUE(LEFT($A222, 4)), 'Raw Annual EBITDA'!$A:Z, 26, FALSE) / 4</f>
        <v>18583</v>
      </c>
      <c r="AA222" s="45">
        <f>VLOOKUP(VALUE(LEFT($A222, 4)), 'Raw Annual EBITDA'!$A:AA, 27, FALSE) / 4</f>
        <v>7685.25</v>
      </c>
      <c r="AB222" s="45"/>
      <c r="AC222" s="45">
        <f>VLOOKUP(VALUE(LEFT($A222, 4)), 'Raw Annual EBITDA'!$A:AC, 29, FALSE) / 4</f>
        <v>2964.25</v>
      </c>
      <c r="AD222" s="43"/>
    </row>
    <row r="223">
      <c r="A223" s="42" t="s">
        <v>135</v>
      </c>
      <c r="B223" s="58">
        <f>IFERROR(__xludf.DUMMYFUNCTION("IMPORTRANGE(""https://docs.google.com/spreadsheets/d/1bozxp9FwhaCNzy-RRGPVPfVYTttO4PUGDdaFvbz-Ue0/edit?gid=1870218791#gid=1870218791"", ""Rev vs Mktg &amp; Mktg Mix!B"" &amp; ROW(B296))
"),676.0)</f>
        <v>676</v>
      </c>
      <c r="C223" s="80">
        <f>IFERROR(__xludf.DUMMYFUNCTION("IMPORTRANGE(""https://docs.google.com/spreadsheets/d/1bozxp9FwhaCNzy-RRGPVPfVYTttO4PUGDdaFvbz-Ue0/edit?gid=1870218791#gid=1870218791"", ""Rev vs Mktg &amp; Mktg Mix!C"" &amp; ROW(C296))
"),1618.0)</f>
        <v>1618</v>
      </c>
      <c r="D223" s="80">
        <f>IFERROR(__xludf.DUMMYFUNCTION("IMPORTRANGE(""https://docs.google.com/spreadsheets/d/1bozxp9FwhaCNzy-RRGPVPfVYTttO4PUGDdaFvbz-Ue0/edit?gid=1870218791#gid=1870218791"", ""Rev vs Mktg &amp; Mktg Mix!D"" &amp; ROW(D296))
"),859.0)</f>
        <v>859</v>
      </c>
      <c r="E223" s="80">
        <f>IFERROR(__xludf.DUMMYFUNCTION("IMPORTRANGE(""https://docs.google.com/spreadsheets/d/1bozxp9FwhaCNzy-RRGPVPfVYTttO4PUGDdaFvbz-Ue0/edit?gid=1870218791#gid=1870218791"", ""Rev vs Mktg &amp; Mktg Mix!E"" &amp; ROW(E296))
"),135.0)</f>
        <v>135</v>
      </c>
      <c r="F223" s="80">
        <f>IFERROR(__xludf.DUMMYFUNCTION("IMPORTRANGE(""https://docs.google.com/spreadsheets/d/1bozxp9FwhaCNzy-RRGPVPfVYTttO4PUGDdaFvbz-Ue0/edit?gid=1870218791#gid=1870218791"", ""Rev vs Mktg &amp; Mktg Mix!F"" &amp; ROW(F296))
"),44.0)</f>
        <v>44</v>
      </c>
      <c r="G223" s="81">
        <f>IFERROR(__xludf.DUMMYFUNCTION("IMPORTRANGE(""https://docs.google.com/spreadsheets/d/1bozxp9FwhaCNzy-RRGPVPfVYTttO4PUGDdaFvbz-Ue0/edit?gid=1870218791#gid=1870218791"", ""Rev vs Mktg &amp; Mktg Mix!G"" &amp; ROW(G296))
"),9.838)</f>
        <v>9.838</v>
      </c>
      <c r="H223" s="54">
        <f>IFERROR(__xludf.DUMMYFUNCTION("IMPORTRANGE(""https://docs.google.com/spreadsheets/d/1bozxp9FwhaCNzy-RRGPVPfVYTttO4PUGDdaFvbz-Ue0/edit?gid=1870218791#gid=1870218791"", ""Rev vs Mktg &amp; Mktg Mix!H"" &amp; ROW(G296))
"),27.500000000000004)</f>
        <v>27.5</v>
      </c>
      <c r="I223" s="81">
        <f>IFERROR(__xludf.DUMMYFUNCTION("IMPORTRANGE(""https://docs.google.com/spreadsheets/d/1bozxp9FwhaCNzy-RRGPVPfVYTttO4PUGDdaFvbz-Ue0/edit?gid=1870218791#gid=1870218791"", ""Rev vs Mktg &amp; Mktg Mix!i"" &amp; ROW(I296))
"),14.752)</f>
        <v>14.752</v>
      </c>
      <c r="J223" s="81">
        <f>IFERROR(__xludf.DUMMYFUNCTION("IMPORTRANGE(""https://docs.google.com/spreadsheets/d/1bozxp9FwhaCNzy-RRGPVPfVYTttO4PUGDdaFvbz-Ue0/edit?gid=1870218791#gid=1870218791"", ""Rev vs Mktg &amp; Mktg Mix!J"" &amp; ROW(J296))
"),18.587)</f>
        <v>18.587</v>
      </c>
      <c r="K223" s="68">
        <f>IFERROR(__xludf.DUMMYFUNCTION("IMPORTRANGE(""https://docs.google.com/spreadsheets/d/1bozxp9FwhaCNzy-RRGPVPfVYTttO4PUGDdaFvbz-Ue0/edit?gid=1870218791#gid=1870218791"", ""Rev vs Mktg &amp; Mktg Mix!K"" &amp; ROW(K296))*1000
"),1149.5294117647059)</f>
        <v>1149.529412</v>
      </c>
      <c r="L223" s="81">
        <f>IFERROR(__xludf.DUMMYFUNCTION("IMPORTRANGE(""https://docs.google.com/spreadsheets/d/1bozxp9FwhaCNzy-RRGPVPfVYTttO4PUGDdaFvbz-Ue0/edit?gid=1870218791#gid=1870218791"", ""Rev vs Mktg &amp; Mktg Mix!L"" &amp; ROW(N296))
"),19.8410512881)</f>
        <v>19.84105129</v>
      </c>
      <c r="M223" s="83">
        <f>IFERROR(__xludf.DUMMYFUNCTION("IMPORTRANGE(""https://docs.google.com/spreadsheets/d/1bozxp9FwhaCNzy-RRGPVPfVYTttO4PUGDdaFvbz-Ue0/edit?gid=1870218791#gid=1870218791"", ""Rev vs Mktg &amp; Mktg Mix!M"" &amp; ROW(M296))
"),5.49402)</f>
        <v>5.49402</v>
      </c>
      <c r="N223" s="81">
        <f>IFERROR(__xludf.DUMMYFUNCTION("IMPORTRANGE(""https://docs.google.com/spreadsheets/d/1bozxp9FwhaCNzy-RRGPVPfVYTttO4PUGDdaFvbz-Ue0/edit?gid=1870218791#gid=1870218791"", ""Rev vs Mktg &amp; Mktg Mix!N"" &amp; ROW(N296))
"),0.758)</f>
        <v>0.758</v>
      </c>
      <c r="O223" s="57">
        <f>IFERROR(__xludf.DUMMYFUNCTION("IMPORTRANGE(""https://docs.google.com/spreadsheets/d/1bozxp9FwhaCNzy-RRGPVPfVYTttO4PUGDdaFvbz-Ue0/edit?gid=1870218791#gid=1870218791"", ""Rev vs Mktg &amp; Mktg Mix!O"" &amp; ROW(O296))
"),17.3875)</f>
        <v>17.3875</v>
      </c>
      <c r="P223" s="57">
        <f>IFERROR(__xludf.DUMMYFUNCTION("IMPORTRANGE(""https://docs.google.com/spreadsheets/d/1bozxp9FwhaCNzy-RRGPVPfVYTttO4PUGDdaFvbz-Ue0/edit?gid=1870218791#gid=1870218791"", ""Rev vs Mktg &amp; Mktg Mix!P"" &amp; ROW(P296))
"),6.532500000000001)</f>
        <v>6.5325</v>
      </c>
      <c r="Q223" s="43"/>
      <c r="R223" s="68"/>
      <c r="S223" s="68">
        <f>IFERROR(__xludf.DUMMYFUNCTION("IMPORTRANGE(""https://docs.google.com/spreadsheets/d/1bozxp9FwhaCNzy-RRGPVPfVYTttO4PUGDdaFvbz-Ue0/edit?gid=1870218791#gid=1870218791"", ""Rev vs Mktg &amp; Mktg Mix!S"" &amp; ROW(T296))*1000
"),17160.0)</f>
        <v>17160</v>
      </c>
      <c r="T223" s="68">
        <f>IFERROR(__xludf.DUMMYFUNCTION("IMPORTRANGE(""https://docs.google.com/spreadsheets/d/1bozxp9FwhaCNzy-RRGPVPfVYTttO4PUGDdaFvbz-Ue0/edit?gid=1870218791#gid=1870218791"", ""Rev vs Mktg &amp; Mktg Mix!T"" &amp; ROW(Y296))*1000
"),4147.529411764706)</f>
        <v>4147.529412</v>
      </c>
      <c r="U223" s="82">
        <f>IFERROR(__xludf.DUMMYFUNCTION("IMPORTRANGE(""https://docs.google.com/spreadsheets/d/1bozxp9FwhaCNzy-RRGPVPfVYTttO4PUGDdaFvbz-Ue0/edit?gid=1870218791#gid=1870218791"", ""Rev vs Mktg &amp; Mktg Mix!u"" &amp; ROW(Z296))
"),-0.125)</f>
        <v>-0.125</v>
      </c>
      <c r="V223" s="43"/>
      <c r="W223" s="43"/>
      <c r="X223" s="45">
        <f>VLOOKUP(VALUE(LEFT($A225, 4)), 'Raw Annual EBITDA'!$A:X, 24, FALSE) / 4
</f>
        <v>-38088.25</v>
      </c>
      <c r="Y223" s="45">
        <f>VLOOKUP(VALUE(LEFT($A223, 4)), 'Raw Annual EBITDA'!$A:Y, 25, FALSE) / 4</f>
        <v>29765</v>
      </c>
      <c r="Z223" s="45">
        <f>VLOOKUP(VALUE(LEFT($A223, 4)), 'Raw Annual EBITDA'!$A:Z, 26, FALSE) / 4</f>
        <v>18583</v>
      </c>
      <c r="AA223" s="45">
        <f>VLOOKUP(VALUE(LEFT($A223, 4)), 'Raw Annual EBITDA'!$A:AA, 27, FALSE) / 4</f>
        <v>7685.25</v>
      </c>
      <c r="AB223" s="45"/>
      <c r="AC223" s="45">
        <f>VLOOKUP(VALUE(LEFT($A223, 4)), 'Raw Annual EBITDA'!$A:AC, 29, FALSE) / 4</f>
        <v>2964.25</v>
      </c>
      <c r="AD223" s="43"/>
    </row>
    <row r="224">
      <c r="A224" s="42" t="s">
        <v>136</v>
      </c>
      <c r="B224" s="58">
        <f>IFERROR(__xludf.DUMMYFUNCTION("IMPORTRANGE(""https://docs.google.com/spreadsheets/d/1bozxp9FwhaCNzy-RRGPVPfVYTttO4PUGDdaFvbz-Ue0/edit?gid=1870218791#gid=1870218791"", ""Rev vs Mktg &amp; Mktg Mix!B"" &amp; ROW(B297))
"),1679.0)</f>
        <v>1679</v>
      </c>
      <c r="C224" s="80">
        <f>IFERROR(__xludf.DUMMYFUNCTION("IMPORTRANGE(""https://docs.google.com/spreadsheets/d/1bozxp9FwhaCNzy-RRGPVPfVYTttO4PUGDdaFvbz-Ue0/edit?gid=1870218791#gid=1870218791"", ""Rev vs Mktg &amp; Mktg Mix!C"" &amp; ROW(C297))
"),3149.0)</f>
        <v>3149</v>
      </c>
      <c r="D224" s="80">
        <f>IFERROR(__xludf.DUMMYFUNCTION("IMPORTRANGE(""https://docs.google.com/spreadsheets/d/1bozxp9FwhaCNzy-RRGPVPfVYTttO4PUGDdaFvbz-Ue0/edit?gid=1870218791#gid=1870218791"", ""Rev vs Mktg &amp; Mktg Mix!D"" &amp; ROW(D297))
"),1216.0)</f>
        <v>1216</v>
      </c>
      <c r="E224" s="80">
        <f>IFERROR(__xludf.DUMMYFUNCTION("IMPORTRANGE(""https://docs.google.com/spreadsheets/d/1bozxp9FwhaCNzy-RRGPVPfVYTttO4PUGDdaFvbz-Ue0/edit?gid=1870218791#gid=1870218791"", ""Rev vs Mktg &amp; Mktg Mix!E"" &amp; ROW(E297))
"),613.0)</f>
        <v>613</v>
      </c>
      <c r="F224" s="80">
        <f>IFERROR(__xludf.DUMMYFUNCTION("IMPORTRANGE(""https://docs.google.com/spreadsheets/d/1bozxp9FwhaCNzy-RRGPVPfVYTttO4PUGDdaFvbz-Ue0/edit?gid=1870218791#gid=1870218791"", ""Rev vs Mktg &amp; Mktg Mix!F"" &amp; ROW(F297))
"),64.0)</f>
        <v>64</v>
      </c>
      <c r="G224" s="81">
        <f>IFERROR(__xludf.DUMMYFUNCTION("IMPORTRANGE(""https://docs.google.com/spreadsheets/d/1bozxp9FwhaCNzy-RRGPVPfVYTttO4PUGDdaFvbz-Ue0/edit?gid=1870218791#gid=1870218791"", ""Rev vs Mktg &amp; Mktg Mix!G"" &amp; ROW(G297))
"),-182.614)</f>
        <v>-182.614</v>
      </c>
      <c r="H224" s="54">
        <f>IFERROR(__xludf.DUMMYFUNCTION("IMPORTRANGE(""https://docs.google.com/spreadsheets/d/1bozxp9FwhaCNzy-RRGPVPfVYTttO4PUGDdaFvbz-Ue0/edit?gid=1870218791#gid=1870218791"", ""Rev vs Mktg &amp; Mktg Mix!H"" &amp; ROW(G297))
"),13.090000000000002)</f>
        <v>13.09</v>
      </c>
      <c r="I224" s="81">
        <f>IFERROR(__xludf.DUMMYFUNCTION("IMPORTRANGE(""https://docs.google.com/spreadsheets/d/1bozxp9FwhaCNzy-RRGPVPfVYTttO4PUGDdaFvbz-Ue0/edit?gid=1870218791#gid=1870218791"", ""Rev vs Mktg &amp; Mktg Mix!i"" &amp; ROW(I297))
"),12.036)</f>
        <v>12.036</v>
      </c>
      <c r="J224" s="81">
        <f>IFERROR(__xludf.DUMMYFUNCTION("IMPORTRANGE(""https://docs.google.com/spreadsheets/d/1bozxp9FwhaCNzy-RRGPVPfVYTttO4PUGDdaFvbz-Ue0/edit?gid=1870218791#gid=1870218791"", ""Rev vs Mktg &amp; Mktg Mix!J"" &amp; ROW(J297))
"),2.184)</f>
        <v>2.184</v>
      </c>
      <c r="K224" s="68">
        <f>IFERROR(__xludf.DUMMYFUNCTION("IMPORTRANGE(""https://docs.google.com/spreadsheets/d/1bozxp9FwhaCNzy-RRGPVPfVYTttO4PUGDdaFvbz-Ue0/edit?gid=1870218791#gid=1870218791"", ""Rev vs Mktg &amp; Mktg Mix!K"" &amp; ROW(K297))*1000
"),-317.05882352941177)</f>
        <v>-317.0588235</v>
      </c>
      <c r="L224" s="81">
        <f>IFERROR(__xludf.DUMMYFUNCTION("IMPORTRANGE(""https://docs.google.com/spreadsheets/d/1bozxp9FwhaCNzy-RRGPVPfVYTttO4PUGDdaFvbz-Ue0/edit?gid=1870218791#gid=1870218791"", ""Rev vs Mktg &amp; Mktg Mix!L"" &amp; ROW(N297))
"),6.9700319451)</f>
        <v>6.970031945</v>
      </c>
      <c r="M224" s="83">
        <f>IFERROR(__xludf.DUMMYFUNCTION("IMPORTRANGE(""https://docs.google.com/spreadsheets/d/1bozxp9FwhaCNzy-RRGPVPfVYTttO4PUGDdaFvbz-Ue0/edit?gid=1870218791#gid=1870218791"", ""Rev vs Mktg &amp; Mktg Mix!M"" &amp; ROW(M297))
"),7.54761)</f>
        <v>7.54761</v>
      </c>
      <c r="N224" s="81">
        <f>IFERROR(__xludf.DUMMYFUNCTION("IMPORTRANGE(""https://docs.google.com/spreadsheets/d/1bozxp9FwhaCNzy-RRGPVPfVYTttO4PUGDdaFvbz-Ue0/edit?gid=1870218791#gid=1870218791"", ""Rev vs Mktg &amp; Mktg Mix!N"" &amp; ROW(N297))
"),1.14)</f>
        <v>1.14</v>
      </c>
      <c r="O224" s="57">
        <f>IFERROR(__xludf.DUMMYFUNCTION("IMPORTRANGE(""https://docs.google.com/spreadsheets/d/1bozxp9FwhaCNzy-RRGPVPfVYTttO4PUGDdaFvbz-Ue0/edit?gid=1870218791#gid=1870218791"", ""Rev vs Mktg &amp; Mktg Mix!O"" &amp; ROW(O297))
"),17.3875)</f>
        <v>17.3875</v>
      </c>
      <c r="P224" s="57">
        <f>IFERROR(__xludf.DUMMYFUNCTION("IMPORTRANGE(""https://docs.google.com/spreadsheets/d/1bozxp9FwhaCNzy-RRGPVPfVYTttO4PUGDdaFvbz-Ue0/edit?gid=1870218791#gid=1870218791"", ""Rev vs Mktg &amp; Mktg Mix!P"" &amp; ROW(P297))
"),6.532500000000001)</f>
        <v>6.5325</v>
      </c>
      <c r="Q224" s="43"/>
      <c r="R224" s="68"/>
      <c r="S224" s="68">
        <f>IFERROR(__xludf.DUMMYFUNCTION("IMPORTRANGE(""https://docs.google.com/spreadsheets/d/1bozxp9FwhaCNzy-RRGPVPfVYTttO4PUGDdaFvbz-Ue0/edit?gid=1870218791#gid=1870218791"", ""Rev vs Mktg &amp; Mktg Mix!S"" &amp; ROW(T297))*1000
"),13750.000000000002)</f>
        <v>13750</v>
      </c>
      <c r="T224" s="68">
        <f>IFERROR(__xludf.DUMMYFUNCTION("IMPORTRANGE(""https://docs.google.com/spreadsheets/d/1bozxp9FwhaCNzy-RRGPVPfVYTttO4PUGDdaFvbz-Ue0/edit?gid=1870218791#gid=1870218791"", ""Rev vs Mktg &amp; Mktg Mix!T"" &amp; ROW(Y297))*1000
"),8148.588235294117)</f>
        <v>8148.588235</v>
      </c>
      <c r="U224" s="82">
        <f>IFERROR(__xludf.DUMMYFUNCTION("IMPORTRANGE(""https://docs.google.com/spreadsheets/d/1bozxp9FwhaCNzy-RRGPVPfVYTttO4PUGDdaFvbz-Ue0/edit?gid=1870218791#gid=1870218791"", ""Rev vs Mktg &amp; Mktg Mix!u"" &amp; ROW(Z297))
"),-3.171)</f>
        <v>-3.171</v>
      </c>
      <c r="V224" s="43"/>
      <c r="W224" s="43"/>
      <c r="X224" s="45">
        <f>VLOOKUP(VALUE(LEFT($A226, 4)), 'Raw Annual EBITDA'!$A:X, 24, FALSE) / 4
</f>
        <v>44382.25</v>
      </c>
      <c r="Y224" s="45">
        <f>VLOOKUP(VALUE(LEFT($A224, 4)), 'Raw Annual EBITDA'!$A:Y, 25, FALSE) / 4</f>
        <v>29765</v>
      </c>
      <c r="Z224" s="45">
        <f>VLOOKUP(VALUE(LEFT($A224, 4)), 'Raw Annual EBITDA'!$A:Z, 26, FALSE) / 4</f>
        <v>18583</v>
      </c>
      <c r="AA224" s="45">
        <f>VLOOKUP(VALUE(LEFT($A224, 4)), 'Raw Annual EBITDA'!$A:AA, 27, FALSE) / 4</f>
        <v>7685.25</v>
      </c>
      <c r="AB224" s="45"/>
      <c r="AC224" s="45">
        <f>VLOOKUP(VALUE(LEFT($A224, 4)), 'Raw Annual EBITDA'!$A:AC, 29, FALSE) / 4</f>
        <v>2964.25</v>
      </c>
      <c r="AD224" s="43"/>
    </row>
    <row r="225">
      <c r="A225" s="42" t="s">
        <v>137</v>
      </c>
      <c r="B225" s="58">
        <f>IFERROR(__xludf.DUMMYFUNCTION("IMPORTRANGE(""https://docs.google.com/spreadsheets/d/1bozxp9FwhaCNzy-RRGPVPfVYTttO4PUGDdaFvbz-Ue0/edit?gid=1870218791#gid=1870218791"", ""Rev vs Mktg &amp; Mktg Mix!B"" &amp; ROW(B298))
"),-383.0)</f>
        <v>-383</v>
      </c>
      <c r="C225" s="80">
        <f>IFERROR(__xludf.DUMMYFUNCTION("IMPORTRANGE(""https://docs.google.com/spreadsheets/d/1bozxp9FwhaCNzy-RRGPVPfVYTttO4PUGDdaFvbz-Ue0/edit?gid=1870218791#gid=1870218791"", ""Rev vs Mktg &amp; Mktg Mix!C"" &amp; ROW(C298))
"),411.0)</f>
        <v>411</v>
      </c>
      <c r="D225" s="80">
        <f>IFERROR(__xludf.DUMMYFUNCTION("IMPORTRANGE(""https://docs.google.com/spreadsheets/d/1bozxp9FwhaCNzy-RRGPVPfVYTttO4PUGDdaFvbz-Ue0/edit?gid=1870218791#gid=1870218791"", ""Rev vs Mktg &amp; Mktg Mix!D"" &amp; ROW(D298))
"),532.0)</f>
        <v>532</v>
      </c>
      <c r="E225" s="80">
        <f>IFERROR(__xludf.DUMMYFUNCTION("IMPORTRANGE(""https://docs.google.com/spreadsheets/d/1bozxp9FwhaCNzy-RRGPVPfVYTttO4PUGDdaFvbz-Ue0/edit?gid=1870218791#gid=1870218791"", ""Rev vs Mktg &amp; Mktg Mix!E"" &amp; ROW(E298))
"),196.0)</f>
        <v>196</v>
      </c>
      <c r="F225" s="80">
        <f>IFERROR(__xludf.DUMMYFUNCTION("IMPORTRANGE(""https://docs.google.com/spreadsheets/d/1bozxp9FwhaCNzy-RRGPVPfVYTttO4PUGDdaFvbz-Ue0/edit?gid=1870218791#gid=1870218791"", ""Rev vs Mktg &amp; Mktg Mix!F"" &amp; ROW(F298))
"),32.0)</f>
        <v>32</v>
      </c>
      <c r="G225" s="81">
        <f>IFERROR(__xludf.DUMMYFUNCTION("IMPORTRANGE(""https://docs.google.com/spreadsheets/d/1bozxp9FwhaCNzy-RRGPVPfVYTttO4PUGDdaFvbz-Ue0/edit?gid=1870218791#gid=1870218791"", ""Rev vs Mktg &amp; Mktg Mix!G"" &amp; ROW(G298))
"),5.4)</f>
        <v>5.4</v>
      </c>
      <c r="H225" s="54">
        <f>IFERROR(__xludf.DUMMYFUNCTION("IMPORTRANGE(""https://docs.google.com/spreadsheets/d/1bozxp9FwhaCNzy-RRGPVPfVYTttO4PUGDdaFvbz-Ue0/edit?gid=1870218791#gid=1870218791"", ""Rev vs Mktg &amp; Mktg Mix!H"" &amp; ROW(G298))
"),16.72)</f>
        <v>16.72</v>
      </c>
      <c r="I225" s="81">
        <f>IFERROR(__xludf.DUMMYFUNCTION("IMPORTRANGE(""https://docs.google.com/spreadsheets/d/1bozxp9FwhaCNzy-RRGPVPfVYTttO4PUGDdaFvbz-Ue0/edit?gid=1870218791#gid=1870218791"", ""Rev vs Mktg &amp; Mktg Mix!i"" &amp; ROW(I298))
"),10.701)</f>
        <v>10.701</v>
      </c>
      <c r="J225" s="81">
        <f>IFERROR(__xludf.DUMMYFUNCTION("IMPORTRANGE(""https://docs.google.com/spreadsheets/d/1bozxp9FwhaCNzy-RRGPVPfVYTttO4PUGDdaFvbz-Ue0/edit?gid=1870218791#gid=1870218791"", ""Rev vs Mktg &amp; Mktg Mix!J"" &amp; ROW(J298))
"),24.169)</f>
        <v>24.169</v>
      </c>
      <c r="K225" s="68">
        <f>IFERROR(__xludf.DUMMYFUNCTION("IMPORTRANGE(""https://docs.google.com/spreadsheets/d/1bozxp9FwhaCNzy-RRGPVPfVYTttO4PUGDdaFvbz-Ue0/edit?gid=1870218791#gid=1870218791"", ""Rev vs Mktg &amp; Mktg Mix!K"" &amp; ROW(K298))*1000
"),1881.4117647058822)</f>
        <v>1881.411765</v>
      </c>
      <c r="L225" s="81">
        <f>IFERROR(__xludf.DUMMYFUNCTION("IMPORTRANGE(""https://docs.google.com/spreadsheets/d/1bozxp9FwhaCNzy-RRGPVPfVYTttO4PUGDdaFvbz-Ue0/edit?gid=1870218791#gid=1870218791"", ""Rev vs Mktg &amp; Mktg Mix!L"" &amp; ROW(N298))
"),34.3965971706)</f>
        <v>34.39659717</v>
      </c>
      <c r="M225" s="83">
        <f>IFERROR(__xludf.DUMMYFUNCTION("IMPORTRANGE(""https://docs.google.com/spreadsheets/d/1bozxp9FwhaCNzy-RRGPVPfVYTttO4PUGDdaFvbz-Ue0/edit?gid=1870218791#gid=1870218791"", ""Rev vs Mktg &amp; Mktg Mix!M"" &amp; ROW(M298))
"),0.5728732001999987)</f>
        <v>0.5728732002</v>
      </c>
      <c r="N225" s="81">
        <f>IFERROR(__xludf.DUMMYFUNCTION("IMPORTRANGE(""https://docs.google.com/spreadsheets/d/1bozxp9FwhaCNzy-RRGPVPfVYTttO4PUGDdaFvbz-Ue0/edit?gid=1870218791#gid=1870218791"", ""Rev vs Mktg &amp; Mktg Mix!N"" &amp; ROW(N298))
"),0.957)</f>
        <v>0.957</v>
      </c>
      <c r="O225" s="57">
        <f>IFERROR(__xludf.DUMMYFUNCTION("IMPORTRANGE(""https://docs.google.com/spreadsheets/d/1bozxp9FwhaCNzy-RRGPVPfVYTttO4PUGDdaFvbz-Ue0/edit?gid=1870218791#gid=1870218791"", ""Rev vs Mktg &amp; Mktg Mix!O"" &amp; ROW(O298))
"),17.94)</f>
        <v>17.94</v>
      </c>
      <c r="P225" s="57">
        <f>IFERROR(__xludf.DUMMYFUNCTION("IMPORTRANGE(""https://docs.google.com/spreadsheets/d/1bozxp9FwhaCNzy-RRGPVPfVYTttO4PUGDdaFvbz-Ue0/edit?gid=1870218791#gid=1870218791"", ""Rev vs Mktg &amp; Mktg Mix!P"" &amp; ROW(P298))
"),11.082500000000001)</f>
        <v>11.0825</v>
      </c>
      <c r="Q225" s="43"/>
      <c r="R225" s="68"/>
      <c r="S225" s="68">
        <f>IFERROR(__xludf.DUMMYFUNCTION("IMPORTRANGE(""https://docs.google.com/spreadsheets/d/1bozxp9FwhaCNzy-RRGPVPfVYTttO4PUGDdaFvbz-Ue0/edit?gid=1870218791#gid=1870218791"", ""Rev vs Mktg &amp; Mktg Mix!S"" &amp; ROW(T298))*1000
"),2530.0000000000045)</f>
        <v>2530</v>
      </c>
      <c r="T225" s="68">
        <f>IFERROR(__xludf.DUMMYFUNCTION("IMPORTRANGE(""https://docs.google.com/spreadsheets/d/1bozxp9FwhaCNzy-RRGPVPfVYTttO4PUGDdaFvbz-Ue0/edit?gid=1870218791#gid=1870218791"", ""Rev vs Mktg &amp; Mktg Mix!T"" &amp; ROW(Y298))*1000
"),8022.470588235294)</f>
        <v>8022.470588</v>
      </c>
      <c r="U225" s="82">
        <f>IFERROR(__xludf.DUMMYFUNCTION("IMPORTRANGE(""https://docs.google.com/spreadsheets/d/1bozxp9FwhaCNzy-RRGPVPfVYTttO4PUGDdaFvbz-Ue0/edit?gid=1870218791#gid=1870218791"", ""Rev vs Mktg &amp; Mktg Mix!u"" &amp; ROW(Z298))
"),-0.329)</f>
        <v>-0.329</v>
      </c>
      <c r="V225" s="43"/>
      <c r="W225" s="43"/>
      <c r="X225" s="45">
        <f>VLOOKUP(VALUE(LEFT($A227, 4)), 'Raw Annual EBITDA'!$A:X, 24, FALSE) / 4
</f>
        <v>44382.25</v>
      </c>
      <c r="Y225" s="45">
        <f>VLOOKUP(VALUE(LEFT($A225, 4)), 'Raw Annual EBITDA'!$A:Y, 25, FALSE) / 4</f>
        <v>29765</v>
      </c>
      <c r="Z225" s="45">
        <f>VLOOKUP(VALUE(LEFT($A225, 4)), 'Raw Annual EBITDA'!$A:Z, 26, FALSE) / 4</f>
        <v>18583</v>
      </c>
      <c r="AA225" s="45">
        <f>VLOOKUP(VALUE(LEFT($A225, 4)), 'Raw Annual EBITDA'!$A:AA, 27, FALSE) / 4</f>
        <v>7685.25</v>
      </c>
      <c r="AB225" s="45"/>
      <c r="AC225" s="45">
        <f>VLOOKUP(VALUE(LEFT($A225, 4)), 'Raw Annual EBITDA'!$A:AC, 29, FALSE) / 4</f>
        <v>2964.25</v>
      </c>
      <c r="AD225" s="43"/>
    </row>
    <row r="226">
      <c r="A226" s="42" t="s">
        <v>138</v>
      </c>
      <c r="B226" s="58">
        <f>IFERROR(__xludf.DUMMYFUNCTION("IMPORTRANGE(""https://docs.google.com/spreadsheets/d/1bozxp9FwhaCNzy-RRGPVPfVYTttO4PUGDdaFvbz-Ue0/edit?gid=1870218791#gid=1870218791"", ""Rev vs Mktg &amp; Mktg Mix!B"" &amp; ROW(B299))
"),293.0)</f>
        <v>293</v>
      </c>
      <c r="C226" s="80">
        <f>IFERROR(__xludf.DUMMYFUNCTION("IMPORTRANGE(""https://docs.google.com/spreadsheets/d/1bozxp9FwhaCNzy-RRGPVPfVYTttO4PUGDdaFvbz-Ue0/edit?gid=1870218791#gid=1870218791"", ""Rev vs Mktg &amp; Mktg Mix!C"" &amp; ROW(C299))
"),937.0)</f>
        <v>937</v>
      </c>
      <c r="D226" s="80">
        <f>IFERROR(__xludf.DUMMYFUNCTION("IMPORTRANGE(""https://docs.google.com/spreadsheets/d/1bozxp9FwhaCNzy-RRGPVPfVYTttO4PUGDdaFvbz-Ue0/edit?gid=1870218791#gid=1870218791"", ""Rev vs Mktg &amp; Mktg Mix!D"" &amp; ROW(D299))
"),255.0)</f>
        <v>255</v>
      </c>
      <c r="E226" s="80">
        <f>IFERROR(__xludf.DUMMYFUNCTION("IMPORTRANGE(""https://docs.google.com/spreadsheets/d/1bozxp9FwhaCNzy-RRGPVPfVYTttO4PUGDdaFvbz-Ue0/edit?gid=1870218791#gid=1870218791"", ""Rev vs Mktg &amp; Mktg Mix!E"" &amp; ROW(E299))
"),577.0)</f>
        <v>577</v>
      </c>
      <c r="F226" s="80">
        <f>IFERROR(__xludf.DUMMYFUNCTION("IMPORTRANGE(""https://docs.google.com/spreadsheets/d/1bozxp9FwhaCNzy-RRGPVPfVYTttO4PUGDdaFvbz-Ue0/edit?gid=1870218791#gid=1870218791"", ""Rev vs Mktg &amp; Mktg Mix!F"" &amp; ROW(F299))
"),-16.0)</f>
        <v>-16</v>
      </c>
      <c r="G226" s="81">
        <f>IFERROR(__xludf.DUMMYFUNCTION("IMPORTRANGE(""https://docs.google.com/spreadsheets/d/1bozxp9FwhaCNzy-RRGPVPfVYTttO4PUGDdaFvbz-Ue0/edit?gid=1870218791#gid=1870218791"", ""Rev vs Mktg &amp; Mktg Mix!G"" &amp; ROW(G299))
"),-10.718)</f>
        <v>-10.718</v>
      </c>
      <c r="H226" s="54">
        <f>IFERROR(__xludf.DUMMYFUNCTION("IMPORTRANGE(""https://docs.google.com/spreadsheets/d/1bozxp9FwhaCNzy-RRGPVPfVYTttO4PUGDdaFvbz-Ue0/edit?gid=1870218791#gid=1870218791"", ""Rev vs Mktg &amp; Mktg Mix!H"" &amp; ROW(G299))
"),29.480000000000004)</f>
        <v>29.48</v>
      </c>
      <c r="I226" s="81">
        <f>IFERROR(__xludf.DUMMYFUNCTION("IMPORTRANGE(""https://docs.google.com/spreadsheets/d/1bozxp9FwhaCNzy-RRGPVPfVYTttO4PUGDdaFvbz-Ue0/edit?gid=1870218791#gid=1870218791"", ""Rev vs Mktg &amp; Mktg Mix!i"" &amp; ROW(I299))
"),20.077)</f>
        <v>20.077</v>
      </c>
      <c r="J226" s="81">
        <f>IFERROR(__xludf.DUMMYFUNCTION("IMPORTRANGE(""https://docs.google.com/spreadsheets/d/1bozxp9FwhaCNzy-RRGPVPfVYTttO4PUGDdaFvbz-Ue0/edit?gid=1870218791#gid=1870218791"", ""Rev vs Mktg &amp; Mktg Mix!J"" &amp; ROW(J299))
"),47.998)</f>
        <v>47.998</v>
      </c>
      <c r="K226" s="68">
        <f>IFERROR(__xludf.DUMMYFUNCTION("IMPORTRANGE(""https://docs.google.com/spreadsheets/d/1bozxp9FwhaCNzy-RRGPVPfVYTttO4PUGDdaFvbz-Ue0/edit?gid=1870218791#gid=1870218791"", ""Rev vs Mktg &amp; Mktg Mix!K"" &amp; ROW(K299))*1000
"),1839.529411764706)</f>
        <v>1839.529412</v>
      </c>
      <c r="L226" s="81">
        <f>IFERROR(__xludf.DUMMYFUNCTION("IMPORTRANGE(""https://docs.google.com/spreadsheets/d/1bozxp9FwhaCNzy-RRGPVPfVYTttO4PUGDdaFvbz-Ue0/edit?gid=1870218791#gid=1870218791"", ""Rev vs Mktg &amp; Mktg Mix!L"" &amp; ROW(N299))
"),18.615140201699997)</f>
        <v>18.6151402</v>
      </c>
      <c r="M226" s="83">
        <f>IFERROR(__xludf.DUMMYFUNCTION("IMPORTRANGE(""https://docs.google.com/spreadsheets/d/1bozxp9FwhaCNzy-RRGPVPfVYTttO4PUGDdaFvbz-Ue0/edit?gid=1870218791#gid=1870218791"", ""Rev vs Mktg &amp; Mktg Mix!M"" &amp; ROW(M299))
"),1.3187048174999998)</f>
        <v>1.318704818</v>
      </c>
      <c r="N226" s="81">
        <f>IFERROR(__xludf.DUMMYFUNCTION("IMPORTRANGE(""https://docs.google.com/spreadsheets/d/1bozxp9FwhaCNzy-RRGPVPfVYTttO4PUGDdaFvbz-Ue0/edit?gid=1870218791#gid=1870218791"", ""Rev vs Mktg &amp; Mktg Mix!N"" &amp; ROW(N299))
"),0.614)</f>
        <v>0.614</v>
      </c>
      <c r="O226" s="57">
        <f>IFERROR(__xludf.DUMMYFUNCTION("IMPORTRANGE(""https://docs.google.com/spreadsheets/d/1bozxp9FwhaCNzy-RRGPVPfVYTttO4PUGDdaFvbz-Ue0/edit?gid=1870218791#gid=1870218791"", ""Rev vs Mktg &amp; Mktg Mix!O"" &amp; ROW(O299))
"),17.94)</f>
        <v>17.94</v>
      </c>
      <c r="P226" s="57">
        <f>IFERROR(__xludf.DUMMYFUNCTION("IMPORTRANGE(""https://docs.google.com/spreadsheets/d/1bozxp9FwhaCNzy-RRGPVPfVYTttO4PUGDdaFvbz-Ue0/edit?gid=1870218791#gid=1870218791"", ""Rev vs Mktg &amp; Mktg Mix!P"" &amp; ROW(P299))
"),11.082500000000001)</f>
        <v>11.0825</v>
      </c>
      <c r="Q226" s="43"/>
      <c r="R226" s="68"/>
      <c r="S226" s="68">
        <f>IFERROR(__xludf.DUMMYFUNCTION("IMPORTRANGE(""https://docs.google.com/spreadsheets/d/1bozxp9FwhaCNzy-RRGPVPfVYTttO4PUGDdaFvbz-Ue0/edit?gid=1870218791#gid=1870218791"", ""Rev vs Mktg &amp; Mktg Mix!S"" &amp; ROW(T299))*1000
"),10230.000000000002)</f>
        <v>10230</v>
      </c>
      <c r="T226" s="68">
        <f>IFERROR(__xludf.DUMMYFUNCTION("IMPORTRANGE(""https://docs.google.com/spreadsheets/d/1bozxp9FwhaCNzy-RRGPVPfVYTttO4PUGDdaFvbz-Ue0/edit?gid=1870218791#gid=1870218791"", ""Rev vs Mktg &amp; Mktg Mix!T"" &amp; ROW(Y299))*1000
"),7047.529411764705)</f>
        <v>7047.529412</v>
      </c>
      <c r="U226" s="82">
        <f>IFERROR(__xludf.DUMMYFUNCTION("IMPORTRANGE(""https://docs.google.com/spreadsheets/d/1bozxp9FwhaCNzy-RRGPVPfVYTttO4PUGDdaFvbz-Ue0/edit?gid=1870218791#gid=1870218791"", ""Rev vs Mktg &amp; Mktg Mix!u"" &amp; ROW(Z299))
"),0.096)</f>
        <v>0.096</v>
      </c>
      <c r="V226" s="43"/>
      <c r="W226" s="43"/>
      <c r="X226" s="45">
        <f>VLOOKUP(VALUE(LEFT($A228, 4)), 'Raw Annual EBITDA'!$A:X, 24, FALSE) / 4
</f>
        <v>44382.25</v>
      </c>
      <c r="Y226" s="43"/>
      <c r="Z226" s="45"/>
      <c r="AA226" s="45"/>
      <c r="AB226" s="45"/>
      <c r="AC226" s="45"/>
      <c r="AD226" s="43"/>
    </row>
    <row r="227">
      <c r="A227" s="42" t="s">
        <v>139</v>
      </c>
      <c r="B227" s="58">
        <f>IFERROR(__xludf.DUMMYFUNCTION("IMPORTRANGE(""https://docs.google.com/spreadsheets/d/1bozxp9FwhaCNzy-RRGPVPfVYTttO4PUGDdaFvbz-Ue0/edit?gid=1870218791#gid=1870218791"", ""Rev vs Mktg &amp; Mktg Mix!B"" &amp; ROW(B300))
"),681.0)</f>
        <v>681</v>
      </c>
      <c r="C227" s="80">
        <f>IFERROR(__xludf.DUMMYFUNCTION("IMPORTRANGE(""https://docs.google.com/spreadsheets/d/1bozxp9FwhaCNzy-RRGPVPfVYTttO4PUGDdaFvbz-Ue0/edit?gid=1870218791#gid=1870218791"", ""Rev vs Mktg &amp; Mktg Mix!C"" &amp; ROW(C300))
"),1922.0)</f>
        <v>1922</v>
      </c>
      <c r="D227" s="80">
        <f>IFERROR(__xludf.DUMMYFUNCTION("IMPORTRANGE(""https://docs.google.com/spreadsheets/d/1bozxp9FwhaCNzy-RRGPVPfVYTttO4PUGDdaFvbz-Ue0/edit?gid=1870218791#gid=1870218791"", ""Rev vs Mktg &amp; Mktg Mix!D"" &amp; ROW(D300))
"),786.0)</f>
        <v>786</v>
      </c>
      <c r="E227" s="80">
        <f>IFERROR(__xludf.DUMMYFUNCTION("IMPORTRANGE(""https://docs.google.com/spreadsheets/d/1bozxp9FwhaCNzy-RRGPVPfVYTttO4PUGDdaFvbz-Ue0/edit?gid=1870218791#gid=1870218791"", ""Rev vs Mktg &amp; Mktg Mix!E"" &amp; ROW(E300))
"),480.0)</f>
        <v>480</v>
      </c>
      <c r="F227" s="80">
        <f>IFERROR(__xludf.DUMMYFUNCTION("IMPORTRANGE(""https://docs.google.com/spreadsheets/d/1bozxp9FwhaCNzy-RRGPVPfVYTttO4PUGDdaFvbz-Ue0/edit?gid=1870218791#gid=1870218791"", ""Rev vs Mktg &amp; Mktg Mix!F"" &amp; ROW(F300))
"),38.0)</f>
        <v>38</v>
      </c>
      <c r="G227" s="81">
        <f>IFERROR(__xludf.DUMMYFUNCTION("IMPORTRANGE(""https://docs.google.com/spreadsheets/d/1bozxp9FwhaCNzy-RRGPVPfVYTttO4PUGDdaFvbz-Ue0/edit?gid=1870218791#gid=1870218791"", ""Rev vs Mktg &amp; Mktg Mix!G"" &amp; ROW(G300))
"),-7.813)</f>
        <v>-7.813</v>
      </c>
      <c r="H227" s="54">
        <f>IFERROR(__xludf.DUMMYFUNCTION("IMPORTRANGE(""https://docs.google.com/spreadsheets/d/1bozxp9FwhaCNzy-RRGPVPfVYTttO4PUGDdaFvbz-Ue0/edit?gid=1870218791#gid=1870218791"", ""Rev vs Mktg &amp; Mktg Mix!H"" &amp; ROW(G300))
"),20.680000000000003)</f>
        <v>20.68</v>
      </c>
      <c r="I227" s="81">
        <f>IFERROR(__xludf.DUMMYFUNCTION("IMPORTRANGE(""https://docs.google.com/spreadsheets/d/1bozxp9FwhaCNzy-RRGPVPfVYTttO4PUGDdaFvbz-Ue0/edit?gid=1870218791#gid=1870218791"", ""Rev vs Mktg &amp; Mktg Mix!i"" &amp; ROW(I300))
"),11.678)</f>
        <v>11.678</v>
      </c>
      <c r="J227" s="81">
        <f>IFERROR(__xludf.DUMMYFUNCTION("IMPORTRANGE(""https://docs.google.com/spreadsheets/d/1bozxp9FwhaCNzy-RRGPVPfVYTttO4PUGDdaFvbz-Ue0/edit?gid=1870218791#gid=1870218791"", ""Rev vs Mktg &amp; Mktg Mix!J"" &amp; ROW(J300))
"),29.518)</f>
        <v>29.518</v>
      </c>
      <c r="K227" s="68">
        <f>IFERROR(__xludf.DUMMYFUNCTION("IMPORTRANGE(""https://docs.google.com/spreadsheets/d/1bozxp9FwhaCNzy-RRGPVPfVYTttO4PUGDdaFvbz-Ue0/edit?gid=1870218791#gid=1870218791"", ""Rev vs Mktg &amp; Mktg Mix!K"" &amp; ROW(K300))*1000
"),1903.1764705882354)</f>
        <v>1903.176471</v>
      </c>
      <c r="L227" s="81">
        <f>IFERROR(__xludf.DUMMYFUNCTION("IMPORTRANGE(""https://docs.google.com/spreadsheets/d/1bozxp9FwhaCNzy-RRGPVPfVYTttO4PUGDdaFvbz-Ue0/edit?gid=1870218791#gid=1870218791"", ""Rev vs Mktg &amp; Mktg Mix!L"" &amp; ROW(N300))
"),19.164843839399975)</f>
        <v>19.16484384</v>
      </c>
      <c r="M227" s="83">
        <f>IFERROR(__xludf.DUMMYFUNCTION("IMPORTRANGE(""https://docs.google.com/spreadsheets/d/1bozxp9FwhaCNzy-RRGPVPfVYTttO4PUGDdaFvbz-Ue0/edit?gid=1870218791#gid=1870218791"", ""Rev vs Mktg &amp; Mktg Mix!M"" &amp; ROW(M300))
"),8.001)</f>
        <v>8.001</v>
      </c>
      <c r="N227" s="81">
        <f>IFERROR(__xludf.DUMMYFUNCTION("IMPORTRANGE(""https://docs.google.com/spreadsheets/d/1bozxp9FwhaCNzy-RRGPVPfVYTttO4PUGDdaFvbz-Ue0/edit?gid=1870218791#gid=1870218791"", ""Rev vs Mktg &amp; Mktg Mix!N"" &amp; ROW(N300))
"),2.245069)</f>
        <v>2.245069</v>
      </c>
      <c r="O227" s="57" t="str">
        <f>IFERROR(__xludf.DUMMYFUNCTION("IMPORTRANGE(""https://docs.google.com/spreadsheets/d/1bozxp9FwhaCNzy-RRGPVPfVYTttO4PUGDdaFvbz-Ue0/edit?gid=1870218791#gid=1870218791"", ""Rev vs Mktg &amp; Mktg Mix!O"" &amp; ROW(O300))
"),"")</f>
        <v/>
      </c>
      <c r="P227" s="57">
        <f>IFERROR(__xludf.DUMMYFUNCTION("IMPORTRANGE(""https://docs.google.com/spreadsheets/d/1bozxp9FwhaCNzy-RRGPVPfVYTttO4PUGDdaFvbz-Ue0/edit?gid=1870218791#gid=1870218791"", ""Rev vs Mktg &amp; Mktg Mix!P"" &amp; ROW(P300))
"),8.905)</f>
        <v>8.905</v>
      </c>
      <c r="Q227" s="43"/>
      <c r="R227" s="68"/>
      <c r="S227" s="68">
        <f>IFERROR(__xludf.DUMMYFUNCTION("IMPORTRANGE(""https://docs.google.com/spreadsheets/d/1bozxp9FwhaCNzy-RRGPVPfVYTttO4PUGDdaFvbz-Ue0/edit?gid=1870218791#gid=1870218791"", ""Rev vs Mktg &amp; Mktg Mix!S"" &amp; ROW(T300))*1000
"),15070.0)</f>
        <v>15070</v>
      </c>
      <c r="T227" s="68">
        <f>IFERROR(__xludf.DUMMYFUNCTION("IMPORTRANGE(""https://docs.google.com/spreadsheets/d/1bozxp9FwhaCNzy-RRGPVPfVYTttO4PUGDdaFvbz-Ue0/edit?gid=1870218791#gid=1870218791"", ""Rev vs Mktg &amp; Mktg Mix!T"" &amp; ROW(Y300))*1000
"),5422.823529411764)</f>
        <v>5422.823529</v>
      </c>
      <c r="U227" s="82">
        <f>IFERROR(__xludf.DUMMYFUNCTION("IMPORTRANGE(""https://docs.google.com/spreadsheets/d/1bozxp9FwhaCNzy-RRGPVPfVYTttO4PUGDdaFvbz-Ue0/edit?gid=1870218791#gid=1870218791"", ""Rev vs Mktg &amp; Mktg Mix!u"" &amp; ROW(Z300))
"),0.037)</f>
        <v>0.037</v>
      </c>
      <c r="V227" s="43"/>
      <c r="W227" s="43"/>
      <c r="X227" s="45">
        <f>VLOOKUP(VALUE(LEFT($A229, 4)), 'Raw Annual EBITDA'!$A:X, 24, FALSE) / 4
</f>
        <v>44382.25</v>
      </c>
      <c r="Y227" s="43"/>
      <c r="Z227" s="45"/>
      <c r="AA227" s="45"/>
      <c r="AB227" s="45"/>
      <c r="AC227" s="45"/>
      <c r="AD227" s="43"/>
    </row>
    <row r="228">
      <c r="A228" s="42" t="s">
        <v>140</v>
      </c>
      <c r="B228" s="58">
        <f>IFERROR(__xludf.DUMMYFUNCTION("IMPORTRANGE(""https://docs.google.com/spreadsheets/d/1bozxp9FwhaCNzy-RRGPVPfVYTttO4PUGDdaFvbz-Ue0/edit?gid=1870218791#gid=1870218791"", ""Rev vs Mktg &amp; Mktg Mix!B"" &amp; ROW(B301))
"),1735.0)</f>
        <v>1735</v>
      </c>
      <c r="C228" s="80">
        <f>IFERROR(__xludf.DUMMYFUNCTION("IMPORTRANGE(""https://docs.google.com/spreadsheets/d/1bozxp9FwhaCNzy-RRGPVPfVYTttO4PUGDdaFvbz-Ue0/edit?gid=1870218791#gid=1870218791"", ""Rev vs Mktg &amp; Mktg Mix!C"" &amp; ROW(C301))
"),2869.0)</f>
        <v>2869</v>
      </c>
      <c r="D228" s="80">
        <f>IFERROR(__xludf.DUMMYFUNCTION("IMPORTRANGE(""https://docs.google.com/spreadsheets/d/1bozxp9FwhaCNzy-RRGPVPfVYTttO4PUGDdaFvbz-Ue0/edit?gid=1870218791#gid=1870218791"", ""Rev vs Mktg &amp; Mktg Mix!D"" &amp; ROW(D301))
"),1250.0)</f>
        <v>1250</v>
      </c>
      <c r="E228" s="80">
        <f>IFERROR(__xludf.DUMMYFUNCTION("IMPORTRANGE(""https://docs.google.com/spreadsheets/d/1bozxp9FwhaCNzy-RRGPVPfVYTttO4PUGDdaFvbz-Ue0/edit?gid=1870218791#gid=1870218791"", ""Rev vs Mktg &amp; Mktg Mix!E"" &amp; ROW(E301))
"),992.0)</f>
        <v>992</v>
      </c>
      <c r="F228" s="80">
        <f>IFERROR(__xludf.DUMMYFUNCTION("IMPORTRANGE(""https://docs.google.com/spreadsheets/d/1bozxp9FwhaCNzy-RRGPVPfVYTttO4PUGDdaFvbz-Ue0/edit?gid=1870218791#gid=1870218791"", ""Rev vs Mktg &amp; Mktg Mix!F"" &amp; ROW(F301))
"),66.0)</f>
        <v>66</v>
      </c>
      <c r="G228" s="81">
        <f>IFERROR(__xludf.DUMMYFUNCTION("IMPORTRANGE(""https://docs.google.com/spreadsheets/d/1bozxp9FwhaCNzy-RRGPVPfVYTttO4PUGDdaFvbz-Ue0/edit?gid=1870218791#gid=1870218791"", ""Rev vs Mktg &amp; Mktg Mix!G"" &amp; ROW(G301))
"),-18.371)</f>
        <v>-18.371</v>
      </c>
      <c r="H228" s="54">
        <f>IFERROR(__xludf.DUMMYFUNCTION("IMPORTRANGE(""https://docs.google.com/spreadsheets/d/1bozxp9FwhaCNzy-RRGPVPfVYTttO4PUGDdaFvbz-Ue0/edit?gid=1870218791#gid=1870218791"", ""Rev vs Mktg &amp; Mktg Mix!H"" &amp; ROW(G301))
"),22.0)</f>
        <v>22</v>
      </c>
      <c r="I228" s="81">
        <f>IFERROR(__xludf.DUMMYFUNCTION("IMPORTRANGE(""https://docs.google.com/spreadsheets/d/1bozxp9FwhaCNzy-RRGPVPfVYTttO4PUGDdaFvbz-Ue0/edit?gid=1870218791#gid=1870218791"", ""Rev vs Mktg &amp; Mktg Mix!i"" &amp; ROW(I301))
"),7.289)</f>
        <v>7.289</v>
      </c>
      <c r="J228" s="81">
        <f>IFERROR(__xludf.DUMMYFUNCTION("IMPORTRANGE(""https://docs.google.com/spreadsheets/d/1bozxp9FwhaCNzy-RRGPVPfVYTttO4PUGDdaFvbz-Ue0/edit?gid=1870218791#gid=1870218791"", ""Rev vs Mktg &amp; Mktg Mix!J"" &amp; ROW(J301))
"),25.55)</f>
        <v>25.55</v>
      </c>
      <c r="K228" s="68">
        <f>IFERROR(__xludf.DUMMYFUNCTION("IMPORTRANGE(""https://docs.google.com/spreadsheets/d/1bozxp9FwhaCNzy-RRGPVPfVYTttO4PUGDdaFvbz-Ue0/edit?gid=1870218791#gid=1870218791"", ""Rev vs Mktg &amp; Mktg Mix!K"" &amp; ROW(K301))*1000
"),2287.8823529411766)</f>
        <v>2287.882353</v>
      </c>
      <c r="L228" s="81">
        <f>IFERROR(__xludf.DUMMYFUNCTION("IMPORTRANGE(""https://docs.google.com/spreadsheets/d/1bozxp9FwhaCNzy-RRGPVPfVYTttO4PUGDdaFvbz-Ue0/edit?gid=1870218791#gid=1870218791"", ""Rev vs Mktg &amp; Mktg Mix!L"" &amp; ROW(N301))
"),14.6218016301)</f>
        <v>14.62180163</v>
      </c>
      <c r="M228" s="83">
        <f>IFERROR(__xludf.DUMMYFUNCTION("IMPORTRANGE(""https://docs.google.com/spreadsheets/d/1bozxp9FwhaCNzy-RRGPVPfVYTttO4PUGDdaFvbz-Ue0/edit?gid=1870218791#gid=1870218791"", ""Rev vs Mktg &amp; Mktg Mix!M"" &amp; ROW(M301))
"),5.3737740378)</f>
        <v>5.373774038</v>
      </c>
      <c r="N228" s="81">
        <f>IFERROR(__xludf.DUMMYFUNCTION("IMPORTRANGE(""https://docs.google.com/spreadsheets/d/1bozxp9FwhaCNzy-RRGPVPfVYTttO4PUGDdaFvbz-Ue0/edit?gid=1870218791#gid=1870218791"", ""Rev vs Mktg &amp; Mktg Mix!N"" &amp; ROW(N301))
"),2.37738)</f>
        <v>2.37738</v>
      </c>
      <c r="O228" s="57" t="str">
        <f>IFERROR(__xludf.DUMMYFUNCTION("IMPORTRANGE(""https://docs.google.com/spreadsheets/d/1bozxp9FwhaCNzy-RRGPVPfVYTttO4PUGDdaFvbz-Ue0/edit?gid=1870218791#gid=1870218791"", ""Rev vs Mktg &amp; Mktg Mix!O"" &amp; ROW(O301))
"),"")</f>
        <v/>
      </c>
      <c r="P228" s="57">
        <f>IFERROR(__xludf.DUMMYFUNCTION("IMPORTRANGE(""https://docs.google.com/spreadsheets/d/1bozxp9FwhaCNzy-RRGPVPfVYTttO4PUGDdaFvbz-Ue0/edit?gid=1870218791#gid=1870218791"", ""Rev vs Mktg &amp; Mktg Mix!P"" &amp; ROW(P301))
"),8.905)</f>
        <v>8.905</v>
      </c>
      <c r="Q228" s="43"/>
      <c r="R228" s="68"/>
      <c r="S228" s="68">
        <f>IFERROR(__xludf.DUMMYFUNCTION("IMPORTRANGE(""https://docs.google.com/spreadsheets/d/1bozxp9FwhaCNzy-RRGPVPfVYTttO4PUGDdaFvbz-Ue0/edit?gid=1870218791#gid=1870218791"", ""Rev vs Mktg &amp; Mktg Mix!S"" &amp; ROW(T301))*1000
"),14080.000000000002)</f>
        <v>14080</v>
      </c>
      <c r="T228" s="68">
        <f>IFERROR(__xludf.DUMMYFUNCTION("IMPORTRANGE(""https://docs.google.com/spreadsheets/d/1bozxp9FwhaCNzy-RRGPVPfVYTttO4PUGDdaFvbz-Ue0/edit?gid=1870218791#gid=1870218791"", ""Rev vs Mktg &amp; Mktg Mix!T"" &amp; ROW(Y301))*1000
"),4443.411764705882)</f>
        <v>4443.411765</v>
      </c>
      <c r="U228" s="82">
        <f>IFERROR(__xludf.DUMMYFUNCTION("IMPORTRANGE(""https://docs.google.com/spreadsheets/d/1bozxp9FwhaCNzy-RRGPVPfVYTttO4PUGDdaFvbz-Ue0/edit?gid=1870218791#gid=1870218791"", ""Rev vs Mktg &amp; Mktg Mix!u"" &amp; ROW(Z301))
"),-0.001)</f>
        <v>-0.001</v>
      </c>
      <c r="V228" s="43"/>
      <c r="W228" s="43"/>
      <c r="X228" s="45"/>
      <c r="Y228" s="43"/>
      <c r="Z228" s="43"/>
      <c r="AA228" s="43"/>
      <c r="AB228" s="43"/>
      <c r="AC228" s="43"/>
      <c r="AD228" s="43"/>
    </row>
    <row r="229">
      <c r="A229" s="42" t="s">
        <v>141</v>
      </c>
      <c r="B229" s="58">
        <f>IFERROR(__xludf.DUMMYFUNCTION("IMPORTRANGE(""https://docs.google.com/spreadsheets/d/1bozxp9FwhaCNzy-RRGPVPfVYTttO4PUGDdaFvbz-Ue0/edit?gid=1870218791#gid=1870218791"", ""Rev vs Mktg &amp; Mktg Mix!B"" &amp; ROW(B302))
"),622.0)</f>
        <v>622</v>
      </c>
      <c r="C229" s="80">
        <f>IFERROR(__xludf.DUMMYFUNCTION("IMPORTRANGE(""https://docs.google.com/spreadsheets/d/1bozxp9FwhaCNzy-RRGPVPfVYTttO4PUGDdaFvbz-Ue0/edit?gid=1870218791#gid=1870218791"", ""Rev vs Mktg &amp; Mktg Mix!C"" &amp; ROW(C302))
"),1564.0)</f>
        <v>1564</v>
      </c>
      <c r="D229" s="80">
        <f>IFERROR(__xludf.DUMMYFUNCTION("IMPORTRANGE(""https://docs.google.com/spreadsheets/d/1bozxp9FwhaCNzy-RRGPVPfVYTttO4PUGDdaFvbz-Ue0/edit?gid=1870218791#gid=1870218791"", ""Rev vs Mktg &amp; Mktg Mix!D"" &amp; ROW(D302))
"),643.0)</f>
        <v>643</v>
      </c>
      <c r="E229" s="80">
        <f>IFERROR(__xludf.DUMMYFUNCTION("IMPORTRANGE(""https://docs.google.com/spreadsheets/d/1bozxp9FwhaCNzy-RRGPVPfVYTttO4PUGDdaFvbz-Ue0/edit?gid=1870218791#gid=1870218791"", ""Rev vs Mktg &amp; Mktg Mix!E"" &amp; ROW(E302))
"),323.0)</f>
        <v>323</v>
      </c>
      <c r="F229" s="80">
        <f>IFERROR(__xludf.DUMMYFUNCTION("IMPORTRANGE(""https://docs.google.com/spreadsheets/d/1bozxp9FwhaCNzy-RRGPVPfVYTttO4PUGDdaFvbz-Ue0/edit?gid=1870218791#gid=1870218791"", ""Rev vs Mktg &amp; Mktg Mix!F"" &amp; ROW(F302))
"),-1.0)</f>
        <v>-1</v>
      </c>
      <c r="G229" s="81">
        <f>IFERROR(__xludf.DUMMYFUNCTION("IMPORTRANGE(""https://docs.google.com/spreadsheets/d/1bozxp9FwhaCNzy-RRGPVPfVYTttO4PUGDdaFvbz-Ue0/edit?gid=1870218791#gid=1870218791"", ""Rev vs Mktg &amp; Mktg Mix!G"" &amp; ROW(F302))
"),8.655)</f>
        <v>8.655</v>
      </c>
      <c r="H229" s="54">
        <f>IFERROR(__xludf.DUMMYFUNCTION("IMPORTRANGE(""https://docs.google.com/spreadsheets/d/1bozxp9FwhaCNzy-RRGPVPfVYTttO4PUGDdaFvbz-Ue0/edit?gid=1870218791#gid=1870218791"", ""Rev vs Mktg &amp; Mktg Mix!H"" &amp; ROW(G302))
"),30.14)</f>
        <v>30.14</v>
      </c>
      <c r="I229" s="81" t="str">
        <f>IFERROR(__xludf.DUMMYFUNCTION("IMPORTRANGE(""https://docs.google.com/spreadsheets/d/1bozxp9FwhaCNzy-RRGPVPfVYTttO4PUGDdaFvbz-Ue0/edit?gid=1870218791#gid=1870218791"", ""Rev vs Mktg &amp; Mktg Mix!i"" &amp; ROW(I302))
"),"")</f>
        <v/>
      </c>
      <c r="J229" s="81">
        <f>IFERROR(__xludf.DUMMYFUNCTION("IMPORTRANGE(""https://docs.google.com/spreadsheets/d/1bozxp9FwhaCNzy-RRGPVPfVYTttO4PUGDdaFvbz-Ue0/edit?gid=1870218791#gid=1870218791"", ""Rev vs Mktg &amp; Mktg Mix!J"" &amp; ROW(J302))
"),29.865)</f>
        <v>29.865</v>
      </c>
      <c r="K229" s="68">
        <f>IFERROR(__xludf.DUMMYFUNCTION("IMPORTRANGE(""https://docs.google.com/spreadsheets/d/1bozxp9FwhaCNzy-RRGPVPfVYTttO4PUGDdaFvbz-Ue0/edit?gid=1870218791#gid=1870218791"", ""Rev vs Mktg &amp; Mktg Mix!K"" &amp; ROW(K302))*1000
"),2742.7058823529414)</f>
        <v>2742.705882</v>
      </c>
      <c r="L229" s="81" t="str">
        <f>IFERROR(__xludf.DUMMYFUNCTION("IMPORTRANGE(""https://docs.google.com/spreadsheets/d/1bozxp9FwhaCNzy-RRGPVPfVYTttO4PUGDdaFvbz-Ue0/edit?gid=1870218791#gid=1870218791"", ""Rev vs Mktg &amp; Mktg Mix!L"" &amp; ROW(N302))
"),"")</f>
        <v/>
      </c>
      <c r="M229" s="52" t="str">
        <f>IFERROR(__xludf.DUMMYFUNCTION("IMPORTRANGE(""https://docs.google.com/spreadsheets/d/1bozxp9FwhaCNzy-RRGPVPfVYTttO4PUGDdaFvbz-Ue0/edit?gid=1870218791#gid=1870218791"", ""Rev vs Mktg &amp; Mktg Mix!M"" &amp; ROW(M302))
"),"")</f>
        <v/>
      </c>
      <c r="N229" s="81">
        <f>IFERROR(__xludf.DUMMYFUNCTION("IMPORTRANGE(""https://docs.google.com/spreadsheets/d/1bozxp9FwhaCNzy-RRGPVPfVYTttO4PUGDdaFvbz-Ue0/edit?gid=1870218791#gid=1870218791"", ""Rev vs Mktg &amp; Mktg Mix!N"" &amp; ROW(N302))
"),0.2219)</f>
        <v>0.2219</v>
      </c>
      <c r="O229" s="57" t="str">
        <f>IFERROR(__xludf.DUMMYFUNCTION("IMPORTRANGE(""https://docs.google.com/spreadsheets/d/1bozxp9FwhaCNzy-RRGPVPfVYTttO4PUGDdaFvbz-Ue0/edit?gid=1870218791#gid=1870218791"", ""Rev vs Mktg &amp; Mktg Mix!O"" &amp; ROW(O302))
"),"")</f>
        <v/>
      </c>
      <c r="P229" s="57" t="str">
        <f>IFERROR(__xludf.DUMMYFUNCTION("IMPORTRANGE(""https://docs.google.com/spreadsheets/d/1bozxp9FwhaCNzy-RRGPVPfVYTttO4PUGDdaFvbz-Ue0/edit?gid=1870218791#gid=1870218791"", ""Rev vs Mktg &amp; Mktg Mix!P"" &amp; ROW(P302))
"),"")</f>
        <v/>
      </c>
      <c r="Q229" s="43"/>
      <c r="R229" s="43"/>
      <c r="S229" s="68">
        <f>IFERROR(__xludf.DUMMYFUNCTION("IMPORTRANGE(""https://docs.google.com/spreadsheets/d/1bozxp9FwhaCNzy-RRGPVPfVYTttO4PUGDdaFvbz-Ue0/edit?gid=1870218791#gid=1870218791"", ""Rev vs Mktg &amp; Mktg Mix!S"" &amp; ROW(T302))*1000
"),0.0)</f>
        <v>0</v>
      </c>
      <c r="T229" s="68">
        <f>IFERROR(__xludf.DUMMYFUNCTION("IMPORTRANGE(""https://docs.google.com/spreadsheets/d/1bozxp9FwhaCNzy-RRGPVPfVYTttO4PUGDdaFvbz-Ue0/edit?gid=1870218791#gid=1870218791"", ""Rev vs Mktg &amp; Mktg Mix!T"" &amp; ROW(Y302))*1000
"),5287.2941176470595)</f>
        <v>5287.294118</v>
      </c>
      <c r="U229" s="82">
        <f>IFERROR(__xludf.DUMMYFUNCTION("IMPORTRANGE(""https://docs.google.com/spreadsheets/d/1bozxp9FwhaCNzy-RRGPVPfVYTttO4PUGDdaFvbz-Ue0/edit?gid=1870218791#gid=1870218791"", ""Rev vs Mktg &amp; Mktg Mix!u"" &amp; ROW(Z302))
"),0.474)</f>
        <v>0.474</v>
      </c>
      <c r="V229" s="43"/>
      <c r="W229" s="43"/>
      <c r="X229" s="45"/>
      <c r="Y229" s="43"/>
      <c r="Z229" s="43"/>
      <c r="AA229" s="43"/>
      <c r="AB229" s="43"/>
      <c r="AC229" s="43"/>
      <c r="AD229" s="43"/>
    </row>
    <row r="230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4"/>
      <c r="P230" s="57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</row>
    <row r="23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4"/>
      <c r="P231" s="57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</row>
    <row r="23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4"/>
      <c r="P232" s="57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</row>
    <row r="233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4"/>
      <c r="P233" s="57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</row>
    <row r="234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4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</row>
    <row r="23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4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</row>
    <row r="236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4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</row>
    <row r="237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4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</row>
    <row r="238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4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</row>
    <row r="239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4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</row>
    <row r="240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4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</row>
    <row r="24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4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</row>
    <row r="242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4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</row>
    <row r="243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4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</row>
    <row r="244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4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</row>
    <row r="24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4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</row>
    <row r="246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4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</row>
    <row r="247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4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</row>
    <row r="248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4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</row>
    <row r="249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4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</row>
    <row r="250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4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</row>
    <row r="25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4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</row>
    <row r="252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4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</row>
    <row r="253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4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</row>
    <row r="254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4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</row>
    <row r="25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4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</row>
    <row r="256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4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</row>
    <row r="257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4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</row>
    <row r="258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4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</row>
    <row r="259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4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</row>
    <row r="260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4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</row>
    <row r="26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4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</row>
    <row r="262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4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</row>
    <row r="263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4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</row>
    <row r="264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4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</row>
    <row r="26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4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</row>
    <row r="266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4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</row>
    <row r="267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4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</row>
    <row r="268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4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</row>
    <row r="269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4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</row>
    <row r="270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4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</row>
    <row r="27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4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</row>
    <row r="272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4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</row>
    <row r="273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4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</row>
    <row r="274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4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</row>
    <row r="27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4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</row>
    <row r="276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4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</row>
    <row r="277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4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</row>
    <row r="278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4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</row>
    <row r="279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4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</row>
    <row r="280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4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</row>
    <row r="28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4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</row>
    <row r="282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4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</row>
    <row r="283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4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</row>
    <row r="284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4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</row>
    <row r="28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4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</row>
    <row r="286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4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</row>
    <row r="287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4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</row>
    <row r="288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4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</row>
    <row r="289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4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</row>
    <row r="290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4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</row>
    <row r="29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4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</row>
    <row r="292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4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</row>
    <row r="293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4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</row>
    <row r="294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4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</row>
    <row r="29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4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</row>
    <row r="296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4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</row>
    <row r="297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4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</row>
    <row r="298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4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</row>
    <row r="299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4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</row>
    <row r="300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4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</row>
    <row r="30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4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</row>
    <row r="302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4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</row>
    <row r="303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4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</row>
    <row r="304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4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</row>
    <row r="30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4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</row>
    <row r="306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4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</row>
    <row r="307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4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</row>
    <row r="308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4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</row>
    <row r="309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4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</row>
    <row r="310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4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</row>
    <row r="31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4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</row>
    <row r="312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4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</row>
    <row r="313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4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</row>
    <row r="314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4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</row>
    <row r="31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4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</row>
    <row r="316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4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</row>
    <row r="317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4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</row>
    <row r="318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4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</row>
    <row r="319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4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</row>
    <row r="320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4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</row>
    <row r="32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4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</row>
    <row r="322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4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</row>
    <row r="323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4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</row>
    <row r="324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4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</row>
    <row r="3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4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</row>
    <row r="326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4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</row>
    <row r="327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4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</row>
    <row r="328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4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</row>
    <row r="329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4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</row>
    <row r="330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4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</row>
    <row r="33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4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</row>
    <row r="332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4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</row>
    <row r="333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4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</row>
    <row r="334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4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</row>
    <row r="33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4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</row>
    <row r="336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4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</row>
    <row r="337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4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</row>
    <row r="338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4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</row>
    <row r="339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4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</row>
    <row r="340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4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</row>
    <row r="34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4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</row>
    <row r="342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4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</row>
    <row r="343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4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</row>
    <row r="344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4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</row>
    <row r="34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4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</row>
    <row r="346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4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</row>
    <row r="347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4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</row>
    <row r="348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4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</row>
    <row r="349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4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</row>
    <row r="350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4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</row>
    <row r="35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4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</row>
    <row r="352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4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</row>
    <row r="353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4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</row>
    <row r="354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4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</row>
    <row r="35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4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</row>
    <row r="356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4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</row>
    <row r="357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4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</row>
    <row r="358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4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</row>
    <row r="359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4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</row>
    <row r="360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4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</row>
    <row r="36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4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</row>
    <row r="362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4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</row>
    <row r="363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4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</row>
    <row r="364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4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</row>
    <row r="36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4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</row>
    <row r="366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4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</row>
    <row r="367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4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</row>
    <row r="368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4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</row>
    <row r="369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4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</row>
    <row r="370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4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</row>
    <row r="37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4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</row>
    <row r="372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4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</row>
    <row r="373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4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</row>
    <row r="374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4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</row>
    <row r="37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4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</row>
    <row r="376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4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</row>
    <row r="377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4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</row>
    <row r="378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4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</row>
    <row r="379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4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</row>
    <row r="380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4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</row>
    <row r="38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4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</row>
    <row r="382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4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</row>
    <row r="383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4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</row>
    <row r="384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4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</row>
    <row r="38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4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</row>
    <row r="386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4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</row>
    <row r="387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4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</row>
    <row r="388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4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</row>
    <row r="389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4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</row>
    <row r="390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4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</row>
    <row r="39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4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</row>
    <row r="392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4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</row>
    <row r="393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4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</row>
    <row r="394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4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</row>
    <row r="39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4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</row>
    <row r="396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4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</row>
    <row r="397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4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</row>
    <row r="398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4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</row>
    <row r="399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4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</row>
    <row r="400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4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</row>
    <row r="40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4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</row>
    <row r="402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4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</row>
    <row r="403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4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</row>
    <row r="404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4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</row>
    <row r="40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4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</row>
    <row r="406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4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</row>
    <row r="407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4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</row>
    <row r="408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4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</row>
    <row r="409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4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</row>
    <row r="410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4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</row>
    <row r="41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4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</row>
    <row r="412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4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</row>
    <row r="413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4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</row>
    <row r="414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4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</row>
    <row r="41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4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</row>
    <row r="416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4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</row>
    <row r="417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4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</row>
    <row r="418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4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</row>
    <row r="419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4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</row>
    <row r="420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4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</row>
    <row r="42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4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</row>
    <row r="422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4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</row>
    <row r="423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4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</row>
    <row r="424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4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</row>
    <row r="4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4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</row>
    <row r="426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4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</row>
    <row r="427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4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</row>
    <row r="428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4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</row>
    <row r="429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4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</row>
    <row r="430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4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</row>
    <row r="43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4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</row>
    <row r="432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4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</row>
    <row r="433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4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</row>
    <row r="434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4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</row>
    <row r="43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4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</row>
    <row r="436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4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</row>
    <row r="437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4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</row>
    <row r="438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4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</row>
    <row r="439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4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</row>
    <row r="440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4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</row>
    <row r="44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4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</row>
    <row r="442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4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</row>
    <row r="443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4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</row>
    <row r="444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4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</row>
    <row r="44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4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</row>
    <row r="446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4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</row>
    <row r="447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4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</row>
    <row r="448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4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</row>
    <row r="449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4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</row>
    <row r="450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4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</row>
    <row r="45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4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</row>
    <row r="452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4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</row>
    <row r="453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4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</row>
    <row r="454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4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</row>
    <row r="45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4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</row>
    <row r="456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4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</row>
    <row r="457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4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</row>
    <row r="458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4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</row>
    <row r="459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4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</row>
    <row r="460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4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</row>
    <row r="46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4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</row>
    <row r="462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4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</row>
    <row r="463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4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</row>
    <row r="464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4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</row>
    <row r="46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4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</row>
    <row r="466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4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</row>
    <row r="467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4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</row>
    <row r="468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4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</row>
    <row r="469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4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</row>
    <row r="470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4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</row>
    <row r="47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4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</row>
    <row r="472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4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</row>
    <row r="473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4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</row>
    <row r="474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4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</row>
    <row r="47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4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</row>
    <row r="476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4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</row>
    <row r="477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4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</row>
    <row r="478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4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</row>
    <row r="479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4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</row>
    <row r="480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4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</row>
    <row r="48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4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</row>
    <row r="482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4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</row>
    <row r="483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4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</row>
    <row r="484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4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</row>
    <row r="48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4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</row>
    <row r="486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4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</row>
    <row r="487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4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</row>
    <row r="488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4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</row>
    <row r="489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4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</row>
    <row r="490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4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</row>
    <row r="49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4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</row>
    <row r="492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4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</row>
    <row r="493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4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</row>
    <row r="494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4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</row>
    <row r="49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4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</row>
    <row r="496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4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</row>
    <row r="497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4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</row>
    <row r="498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4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</row>
    <row r="499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4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</row>
    <row r="500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4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</row>
    <row r="50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4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</row>
    <row r="502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4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</row>
    <row r="503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4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</row>
    <row r="504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4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</row>
    <row r="50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4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</row>
    <row r="506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4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</row>
    <row r="507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4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</row>
    <row r="508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4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</row>
    <row r="509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4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</row>
    <row r="510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4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</row>
    <row r="51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4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</row>
    <row r="512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4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</row>
    <row r="513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4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</row>
    <row r="514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4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</row>
    <row r="51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4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</row>
    <row r="516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4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</row>
    <row r="517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4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</row>
    <row r="518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4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</row>
    <row r="519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4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</row>
    <row r="520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4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</row>
    <row r="52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4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</row>
    <row r="522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4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</row>
    <row r="523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4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</row>
    <row r="524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4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</row>
    <row r="5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4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</row>
    <row r="526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4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</row>
    <row r="527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4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</row>
    <row r="528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4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</row>
    <row r="529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4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</row>
    <row r="530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4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</row>
    <row r="53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4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</row>
    <row r="532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4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</row>
    <row r="533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4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</row>
    <row r="534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4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</row>
    <row r="53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4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</row>
    <row r="536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4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</row>
    <row r="537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4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</row>
    <row r="538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4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</row>
    <row r="539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4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</row>
    <row r="540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4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</row>
    <row r="54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4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</row>
    <row r="542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4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</row>
    <row r="543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4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</row>
    <row r="544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4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</row>
    <row r="54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4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</row>
    <row r="546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4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</row>
    <row r="547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4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</row>
    <row r="548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4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</row>
    <row r="549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4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</row>
    <row r="550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4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</row>
    <row r="55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4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</row>
    <row r="552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4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</row>
    <row r="553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4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</row>
    <row r="554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4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</row>
    <row r="55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4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</row>
    <row r="556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4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</row>
    <row r="557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4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</row>
    <row r="558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4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</row>
    <row r="559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4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</row>
    <row r="560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4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</row>
    <row r="56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4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</row>
    <row r="562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4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</row>
    <row r="563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4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</row>
    <row r="564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4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</row>
    <row r="56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4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</row>
    <row r="566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4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</row>
    <row r="567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4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</row>
    <row r="568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4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</row>
    <row r="569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4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</row>
    <row r="570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4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</row>
    <row r="57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4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</row>
    <row r="572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4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</row>
    <row r="573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4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</row>
    <row r="574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4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</row>
    <row r="57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4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</row>
    <row r="576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4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</row>
    <row r="577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4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</row>
    <row r="578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4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</row>
    <row r="579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4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</row>
    <row r="580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4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</row>
    <row r="58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4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</row>
    <row r="582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4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</row>
    <row r="583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4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</row>
    <row r="584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4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</row>
    <row r="58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4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</row>
    <row r="586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4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</row>
    <row r="587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4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</row>
    <row r="588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4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</row>
    <row r="589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4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</row>
    <row r="590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4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</row>
    <row r="59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4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</row>
    <row r="592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4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</row>
    <row r="593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4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</row>
    <row r="594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4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</row>
    <row r="59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4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</row>
    <row r="596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4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</row>
    <row r="597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4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</row>
    <row r="598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4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</row>
    <row r="599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4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</row>
    <row r="600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4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</row>
    <row r="60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4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</row>
    <row r="602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4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</row>
    <row r="603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4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</row>
    <row r="604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4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</row>
    <row r="60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4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</row>
    <row r="606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4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</row>
    <row r="607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4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</row>
    <row r="608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4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</row>
    <row r="609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4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</row>
    <row r="610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4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</row>
    <row r="61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4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</row>
    <row r="612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4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</row>
    <row r="613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4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</row>
    <row r="614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4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</row>
    <row r="61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4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</row>
    <row r="616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4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</row>
    <row r="617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4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</row>
    <row r="618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4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</row>
    <row r="619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4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</row>
    <row r="620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4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</row>
    <row r="62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4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</row>
    <row r="622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4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</row>
    <row r="623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4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</row>
    <row r="624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4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</row>
    <row r="6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4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</row>
    <row r="626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4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</row>
    <row r="627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4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</row>
    <row r="628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4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</row>
    <row r="629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4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</row>
    <row r="630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4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</row>
    <row r="63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4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</row>
    <row r="632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4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</row>
    <row r="633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4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</row>
    <row r="634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4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</row>
    <row r="63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4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</row>
    <row r="636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4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</row>
    <row r="637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4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</row>
    <row r="638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4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</row>
    <row r="639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4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</row>
    <row r="640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4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</row>
    <row r="64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4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</row>
    <row r="642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4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</row>
    <row r="643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4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</row>
    <row r="644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4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</row>
    <row r="64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4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</row>
    <row r="646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4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</row>
    <row r="647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4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</row>
    <row r="648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4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</row>
    <row r="649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4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</row>
    <row r="650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4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</row>
    <row r="65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4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</row>
    <row r="652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4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</row>
    <row r="653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4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</row>
    <row r="654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4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</row>
    <row r="65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4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</row>
    <row r="656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4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</row>
    <row r="657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4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</row>
    <row r="658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4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</row>
    <row r="659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4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</row>
    <row r="660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4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</row>
    <row r="66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4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</row>
    <row r="662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4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</row>
    <row r="663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4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</row>
    <row r="664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4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</row>
    <row r="66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4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</row>
    <row r="666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4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</row>
    <row r="667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4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</row>
    <row r="668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4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</row>
    <row r="669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4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</row>
    <row r="670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4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</row>
    <row r="67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4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</row>
    <row r="672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4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</row>
    <row r="673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4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</row>
    <row r="674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4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</row>
    <row r="67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4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</row>
    <row r="676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4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</row>
    <row r="677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4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</row>
    <row r="678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4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</row>
    <row r="679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4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</row>
    <row r="680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4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</row>
    <row r="68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4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</row>
    <row r="682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4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</row>
    <row r="683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4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</row>
    <row r="684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4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</row>
    <row r="68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4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</row>
    <row r="686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4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</row>
    <row r="687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4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</row>
    <row r="688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4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</row>
    <row r="689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4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</row>
    <row r="690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4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</row>
    <row r="69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4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</row>
    <row r="692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4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</row>
    <row r="693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4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</row>
    <row r="694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4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</row>
    <row r="69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4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</row>
    <row r="696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4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</row>
    <row r="697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4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</row>
    <row r="698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4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</row>
    <row r="699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4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</row>
    <row r="700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4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</row>
    <row r="70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4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</row>
    <row r="702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4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</row>
    <row r="703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4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</row>
    <row r="704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4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</row>
    <row r="70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4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</row>
    <row r="706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4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</row>
    <row r="707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4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</row>
    <row r="708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4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</row>
    <row r="709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4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</row>
    <row r="710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4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</row>
    <row r="71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4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</row>
    <row r="712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4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</row>
    <row r="713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4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</row>
    <row r="714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4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</row>
    <row r="71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4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</row>
    <row r="716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4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</row>
    <row r="717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4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</row>
    <row r="718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4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</row>
    <row r="719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4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</row>
    <row r="720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4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</row>
    <row r="72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4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</row>
    <row r="722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4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  <c r="AD722" s="43"/>
    </row>
    <row r="723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4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  <c r="AD723" s="43"/>
    </row>
    <row r="724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4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  <c r="AD724" s="43"/>
    </row>
    <row r="7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4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</row>
    <row r="726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4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</row>
    <row r="727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4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</row>
    <row r="728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4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</row>
    <row r="729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4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</row>
    <row r="730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4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</row>
    <row r="73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4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</row>
    <row r="732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4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</row>
    <row r="733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4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</row>
    <row r="734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4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</row>
    <row r="73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4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</row>
    <row r="736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4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</row>
    <row r="737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4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</row>
    <row r="738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4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</row>
    <row r="739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4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</row>
    <row r="740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4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</row>
    <row r="74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4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</row>
    <row r="742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4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</row>
    <row r="743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4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</row>
    <row r="744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4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</row>
    <row r="74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4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</row>
    <row r="746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4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</row>
    <row r="747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4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</row>
    <row r="748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4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</row>
    <row r="749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4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</row>
    <row r="750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4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  <c r="AD750" s="43"/>
    </row>
    <row r="75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4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</row>
    <row r="75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4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</row>
    <row r="753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4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</row>
    <row r="754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4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</row>
    <row r="75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4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</row>
    <row r="756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4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</row>
    <row r="757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4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</row>
    <row r="758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4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</row>
    <row r="759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4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</row>
    <row r="760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4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</row>
    <row r="76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4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</row>
    <row r="76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4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</row>
    <row r="763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4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</row>
    <row r="764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4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</row>
    <row r="76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4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</row>
    <row r="766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4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</row>
    <row r="767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4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</row>
    <row r="768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4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</row>
    <row r="769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4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</row>
    <row r="770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4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</row>
    <row r="77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4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</row>
    <row r="77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4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</row>
    <row r="773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4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</row>
    <row r="774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4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</row>
    <row r="77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4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</row>
    <row r="776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4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</row>
    <row r="777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4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</row>
    <row r="778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4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</row>
    <row r="779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4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</row>
    <row r="780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4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</row>
    <row r="78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4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</row>
    <row r="78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4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</row>
    <row r="783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4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</row>
    <row r="784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4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</row>
    <row r="78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4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</row>
    <row r="786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4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</row>
    <row r="787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4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</row>
    <row r="788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4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</row>
    <row r="789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4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</row>
    <row r="790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4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</row>
    <row r="79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4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</row>
    <row r="79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4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</row>
    <row r="793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4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</row>
    <row r="794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4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</row>
    <row r="79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4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</row>
    <row r="796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4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</row>
    <row r="797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4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</row>
    <row r="798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4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</row>
    <row r="799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4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</row>
    <row r="800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4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</row>
    <row r="80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4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</row>
    <row r="80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4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</row>
    <row r="803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4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</row>
    <row r="804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4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</row>
    <row r="80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4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</row>
    <row r="806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4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</row>
    <row r="807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4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  <c r="AD807" s="43"/>
    </row>
    <row r="808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4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  <c r="AD808" s="43"/>
    </row>
    <row r="809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4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  <c r="AD809" s="43"/>
    </row>
    <row r="810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4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  <c r="AD810" s="43"/>
    </row>
    <row r="81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4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  <c r="AD811" s="43"/>
    </row>
    <row r="81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4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  <c r="AD812" s="43"/>
    </row>
    <row r="813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4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  <c r="AD813" s="43"/>
    </row>
    <row r="814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4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  <c r="AD814" s="43"/>
    </row>
    <row r="81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4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  <c r="AD815" s="43"/>
    </row>
    <row r="816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4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</row>
    <row r="817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4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  <c r="AD817" s="43"/>
    </row>
    <row r="818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4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  <c r="AD818" s="43"/>
    </row>
    <row r="819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4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  <c r="AD819" s="43"/>
    </row>
    <row r="820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4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  <c r="AD820" s="43"/>
    </row>
    <row r="82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4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  <c r="AD821" s="43"/>
    </row>
    <row r="82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4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</row>
    <row r="823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4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  <c r="AD823" s="43"/>
    </row>
    <row r="824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4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</row>
    <row r="8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4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</row>
    <row r="826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4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</row>
    <row r="827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4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  <c r="AD827" s="43"/>
    </row>
    <row r="828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4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  <c r="AD828" s="43"/>
    </row>
    <row r="829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4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  <c r="AD829" s="43"/>
    </row>
    <row r="830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4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  <c r="AD830" s="43"/>
    </row>
    <row r="83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4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</row>
    <row r="83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4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</row>
    <row r="833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4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</row>
    <row r="834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4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  <c r="AD834" s="43"/>
    </row>
    <row r="83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4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</row>
    <row r="836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4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</row>
    <row r="837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4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</row>
    <row r="838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4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  <c r="AD838" s="43"/>
    </row>
    <row r="839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4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  <c r="AD839" s="43"/>
    </row>
    <row r="840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4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  <c r="AD840" s="43"/>
    </row>
    <row r="84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4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  <c r="AD841" s="43"/>
    </row>
    <row r="84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4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  <c r="AD842" s="43"/>
    </row>
    <row r="843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4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  <c r="AD843" s="43"/>
    </row>
    <row r="844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4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  <c r="AD844" s="43"/>
    </row>
    <row r="84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4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</row>
    <row r="846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4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</row>
    <row r="847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4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  <c r="AD847" s="43"/>
    </row>
    <row r="848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4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  <c r="AD848" s="43"/>
    </row>
    <row r="849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4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</row>
    <row r="850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4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</row>
    <row r="85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4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</row>
    <row r="85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4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</row>
    <row r="853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4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  <c r="AD853" s="43"/>
    </row>
    <row r="854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4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  <c r="AD854" s="43"/>
    </row>
    <row r="85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4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  <c r="AD855" s="43"/>
    </row>
    <row r="856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4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  <c r="AD856" s="43"/>
    </row>
    <row r="857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4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</row>
    <row r="858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4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  <c r="AD858" s="43"/>
    </row>
    <row r="859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4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</row>
    <row r="860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4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</row>
    <row r="86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4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</row>
    <row r="86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4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</row>
    <row r="863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4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</row>
    <row r="864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4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  <c r="AD864" s="43"/>
    </row>
    <row r="86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4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  <c r="AD865" s="43"/>
    </row>
    <row r="866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4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</row>
    <row r="867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4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  <c r="AD867" s="43"/>
    </row>
    <row r="868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4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  <c r="AD868" s="43"/>
    </row>
    <row r="869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4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  <c r="AD869" s="43"/>
    </row>
    <row r="870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4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  <c r="AD870" s="43"/>
    </row>
    <row r="87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4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</row>
    <row r="87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4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  <c r="AD872" s="43"/>
    </row>
    <row r="873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4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  <c r="AD873" s="43"/>
    </row>
    <row r="874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4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  <c r="AD874" s="43"/>
    </row>
    <row r="87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4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  <c r="AD875" s="43"/>
    </row>
    <row r="876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4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  <c r="AD876" s="43"/>
    </row>
    <row r="877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4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  <c r="AD877" s="43"/>
    </row>
    <row r="878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4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  <c r="AD878" s="43"/>
    </row>
    <row r="879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4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  <c r="AD879" s="43"/>
    </row>
    <row r="880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4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</row>
    <row r="88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4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  <c r="AD881" s="43"/>
    </row>
    <row r="88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4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  <c r="AD882" s="43"/>
    </row>
    <row r="883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4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  <c r="AD883" s="43"/>
    </row>
    <row r="884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4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</row>
    <row r="88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4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  <c r="AD885" s="43"/>
    </row>
    <row r="886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4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  <c r="AD886" s="43"/>
    </row>
    <row r="887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4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</row>
    <row r="888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4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</row>
    <row r="889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4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  <c r="AD889" s="43"/>
    </row>
    <row r="890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4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  <c r="AD890" s="43"/>
    </row>
    <row r="89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4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  <c r="AD891" s="43"/>
    </row>
    <row r="89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4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  <c r="AD892" s="43"/>
    </row>
    <row r="893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4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  <c r="AD893" s="43"/>
    </row>
    <row r="894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4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  <c r="AD894" s="43"/>
    </row>
    <row r="89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4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  <c r="AD895" s="43"/>
    </row>
    <row r="896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4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  <c r="AD896" s="43"/>
    </row>
    <row r="897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4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  <c r="AD897" s="43"/>
    </row>
    <row r="898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4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  <c r="AD898" s="43"/>
    </row>
    <row r="899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4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  <c r="AD899" s="43"/>
    </row>
    <row r="900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4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  <c r="AD900" s="43"/>
    </row>
    <row r="90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4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  <c r="AD901" s="43"/>
    </row>
    <row r="90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4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</row>
    <row r="903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4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  <c r="AD903" s="43"/>
    </row>
    <row r="904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4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  <c r="AD904" s="43"/>
    </row>
    <row r="90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4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  <c r="AD905" s="43"/>
    </row>
    <row r="906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4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</row>
    <row r="907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4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  <c r="AD907" s="43"/>
    </row>
    <row r="908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4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  <c r="AD908" s="43"/>
    </row>
    <row r="909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4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  <c r="AD909" s="43"/>
    </row>
    <row r="910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4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  <c r="AD910" s="43"/>
    </row>
    <row r="91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4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  <c r="AD911" s="43"/>
    </row>
    <row r="91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4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  <c r="AD912" s="43"/>
    </row>
    <row r="913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4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  <c r="AD913" s="43"/>
    </row>
    <row r="914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4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  <c r="AD914" s="43"/>
    </row>
    <row r="91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4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  <c r="AD915" s="43"/>
    </row>
    <row r="916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4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  <c r="AD916" s="43"/>
    </row>
    <row r="917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4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</row>
    <row r="918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4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  <c r="AD918" s="43"/>
    </row>
    <row r="919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4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  <c r="AD919" s="43"/>
    </row>
    <row r="920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4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  <c r="AD920" s="43"/>
    </row>
    <row r="92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4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  <c r="AD921" s="43"/>
    </row>
    <row r="92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4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  <c r="AD922" s="43"/>
    </row>
    <row r="923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4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  <c r="AD923" s="43"/>
    </row>
    <row r="924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4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  <c r="AD924" s="43"/>
    </row>
    <row r="92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4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  <c r="AD925" s="43"/>
    </row>
    <row r="926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4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</row>
    <row r="927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4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  <c r="AD927" s="43"/>
    </row>
    <row r="928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4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  <c r="AD928" s="43"/>
    </row>
    <row r="929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4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  <c r="AD929" s="43"/>
    </row>
    <row r="930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4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  <c r="AD930" s="43"/>
    </row>
    <row r="93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4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  <c r="AD931" s="43"/>
    </row>
    <row r="93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4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  <c r="AD932" s="43"/>
    </row>
    <row r="933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4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  <c r="AD933" s="43"/>
    </row>
    <row r="934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4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  <c r="AD934" s="43"/>
    </row>
    <row r="93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4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  <c r="AD935" s="43"/>
    </row>
    <row r="936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4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  <c r="AD936" s="43"/>
    </row>
    <row r="937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4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  <c r="AD937" s="43"/>
    </row>
    <row r="938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4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  <c r="AD938" s="43"/>
    </row>
    <row r="939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4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  <c r="AD939" s="43"/>
    </row>
    <row r="940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4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  <c r="AD940" s="43"/>
    </row>
    <row r="94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4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  <c r="AD941" s="43"/>
    </row>
    <row r="94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4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  <c r="AD942" s="43"/>
    </row>
    <row r="943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4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  <c r="AD943" s="43"/>
    </row>
    <row r="944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4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  <c r="AD944" s="43"/>
    </row>
    <row r="94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4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  <c r="AD945" s="43"/>
    </row>
    <row r="946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4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  <c r="AD946" s="43"/>
    </row>
    <row r="947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4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  <c r="AD947" s="43"/>
    </row>
    <row r="948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4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  <c r="AD948" s="43"/>
    </row>
    <row r="949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4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  <c r="AD949" s="43"/>
    </row>
    <row r="950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4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  <c r="AD950" s="43"/>
    </row>
    <row r="95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4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  <c r="AD951" s="43"/>
    </row>
    <row r="95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4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  <c r="AD952" s="43"/>
    </row>
    <row r="953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4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  <c r="AD953" s="43"/>
    </row>
    <row r="954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4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  <c r="AD954" s="43"/>
    </row>
    <row r="95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4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  <c r="AD955" s="43"/>
    </row>
    <row r="956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4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  <c r="AD956" s="43"/>
    </row>
    <row r="957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4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  <c r="AD957" s="43"/>
    </row>
    <row r="958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4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  <c r="AD958" s="43"/>
    </row>
    <row r="959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4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  <c r="AD959" s="43"/>
    </row>
    <row r="960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4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  <c r="AD960" s="43"/>
    </row>
    <row r="96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4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  <c r="AD961" s="43"/>
    </row>
    <row r="96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4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  <c r="AD962" s="43"/>
    </row>
    <row r="963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4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  <c r="AD963" s="43"/>
    </row>
    <row r="964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4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  <c r="AD964" s="43"/>
    </row>
    <row r="96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4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  <c r="AD965" s="43"/>
    </row>
    <row r="966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4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  <c r="AD966" s="43"/>
    </row>
    <row r="967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4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  <c r="AD967" s="43"/>
    </row>
    <row r="968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4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  <c r="AD968" s="43"/>
    </row>
    <row r="969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4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  <c r="AD969" s="43"/>
    </row>
    <row r="970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4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  <c r="AD970" s="43"/>
    </row>
    <row r="97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4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  <c r="AD971" s="43"/>
    </row>
    <row r="97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4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  <c r="AD972" s="43"/>
    </row>
    <row r="973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4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  <c r="AD973" s="43"/>
    </row>
    <row r="974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4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  <c r="AD974" s="43"/>
    </row>
    <row r="97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4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  <c r="AD975" s="43"/>
    </row>
    <row r="976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4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  <c r="AD976" s="43"/>
    </row>
    <row r="977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4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  <c r="AD977" s="43"/>
    </row>
    <row r="978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4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  <c r="AD978" s="43"/>
    </row>
    <row r="979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4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  <c r="AD979" s="43"/>
    </row>
    <row r="980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4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  <c r="AD980" s="43"/>
    </row>
    <row r="98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4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  <c r="AD981" s="43"/>
    </row>
    <row r="98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4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  <c r="AC982" s="43"/>
      <c r="AD982" s="43"/>
    </row>
    <row r="983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4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  <c r="AC983" s="43"/>
      <c r="AD983" s="43"/>
    </row>
    <row r="984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4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  <c r="AC984" s="43"/>
      <c r="AD984" s="43"/>
    </row>
    <row r="98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4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  <c r="AC985" s="43"/>
      <c r="AD985" s="43"/>
    </row>
    <row r="986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4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  <c r="AC986" s="43"/>
      <c r="AD986" s="43"/>
    </row>
    <row r="987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4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  <c r="AC987" s="43"/>
      <c r="AD987" s="43"/>
    </row>
    <row r="988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4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  <c r="AC988" s="43"/>
      <c r="AD988" s="43"/>
    </row>
    <row r="989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4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  <c r="AC989" s="43"/>
      <c r="AD989" s="43"/>
    </row>
    <row r="990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4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  <c r="AC990" s="43"/>
      <c r="AD990" s="43"/>
    </row>
    <row r="99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4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  <c r="AC991" s="43"/>
      <c r="AD991" s="43"/>
    </row>
    <row r="99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4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  <c r="AC992" s="43"/>
      <c r="AD992" s="43"/>
    </row>
    <row r="993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4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  <c r="AC993" s="43"/>
      <c r="AD993" s="43"/>
    </row>
    <row r="994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4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  <c r="AC994" s="43"/>
      <c r="AD994" s="43"/>
    </row>
    <row r="995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4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  <c r="AC995" s="43"/>
      <c r="AD995" s="43"/>
    </row>
    <row r="996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4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  <c r="AC996" s="43"/>
      <c r="AD996" s="43"/>
    </row>
    <row r="997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4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  <c r="AB997" s="43"/>
      <c r="AC997" s="43"/>
      <c r="AD997" s="43"/>
    </row>
    <row r="998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4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  <c r="AB998" s="43"/>
      <c r="AC998" s="43"/>
      <c r="AD998" s="43"/>
    </row>
    <row r="999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4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  <c r="AB999" s="43"/>
      <c r="AC999" s="43"/>
      <c r="AD999" s="43"/>
    </row>
    <row r="1000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4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  <c r="AB1000" s="43"/>
      <c r="AC1000" s="43"/>
      <c r="AD1000" s="43"/>
    </row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6.5"/>
  </cols>
  <sheetData>
    <row r="1" ht="72.0" customHeight="1">
      <c r="A1" s="2"/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4" t="s">
        <v>7</v>
      </c>
      <c r="I1" s="2" t="s">
        <v>8</v>
      </c>
      <c r="J1" s="85" t="s">
        <v>325</v>
      </c>
      <c r="K1" s="86" t="s">
        <v>326</v>
      </c>
      <c r="L1" s="3" t="s">
        <v>11</v>
      </c>
      <c r="M1" s="6" t="s">
        <v>12</v>
      </c>
      <c r="N1" s="87" t="s">
        <v>13</v>
      </c>
      <c r="O1" s="41" t="s">
        <v>327</v>
      </c>
      <c r="P1" s="6" t="s">
        <v>15</v>
      </c>
      <c r="Q1" s="8" t="s">
        <v>16</v>
      </c>
      <c r="R1" s="8" t="s">
        <v>17</v>
      </c>
      <c r="S1" s="7" t="s">
        <v>18</v>
      </c>
      <c r="T1" s="88" t="s">
        <v>328</v>
      </c>
      <c r="U1" s="89" t="s">
        <v>329</v>
      </c>
      <c r="V1" s="7" t="s">
        <v>21</v>
      </c>
      <c r="W1" s="7" t="s">
        <v>22</v>
      </c>
      <c r="X1" s="7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2"/>
    </row>
    <row r="2">
      <c r="A2" s="15" t="s">
        <v>323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>
      <c r="A3" s="15">
        <v>1997.0</v>
      </c>
      <c r="B3" s="12"/>
      <c r="C3" s="12"/>
      <c r="D3" s="90">
        <v>2742.0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90">
        <v>9287.0</v>
      </c>
      <c r="X3" s="90">
        <v>918725.0</v>
      </c>
      <c r="Y3" s="12"/>
      <c r="Z3" s="12"/>
      <c r="AA3" s="12"/>
      <c r="AB3" s="12"/>
      <c r="AC3" s="12"/>
      <c r="AD3" s="12"/>
    </row>
    <row r="4">
      <c r="A4" s="15">
        <v>1998.0</v>
      </c>
      <c r="B4" s="12"/>
      <c r="C4" s="90">
        <v>35237.0</v>
      </c>
      <c r="D4" s="90">
        <v>13827.0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90">
        <v>21238.0</v>
      </c>
      <c r="X4" s="90">
        <v>925504.0</v>
      </c>
      <c r="Y4" s="12"/>
      <c r="Z4" s="12"/>
      <c r="AA4" s="12"/>
      <c r="AB4" s="12"/>
      <c r="AC4" s="12"/>
      <c r="AD4" s="12"/>
    </row>
    <row r="5">
      <c r="A5" s="15">
        <v>1999.0</v>
      </c>
      <c r="B5" s="12"/>
      <c r="C5" s="90">
        <v>482410.0</v>
      </c>
      <c r="D5" s="90">
        <v>38699.0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90"/>
      <c r="S5" s="90">
        <v>195.0</v>
      </c>
      <c r="T5" s="12"/>
      <c r="U5" s="12"/>
      <c r="V5" s="12"/>
      <c r="W5" s="90">
        <v>64187.0</v>
      </c>
      <c r="X5" s="90">
        <v>1211906.0</v>
      </c>
      <c r="Y5" s="12"/>
      <c r="Z5" s="12"/>
      <c r="AA5" s="12"/>
      <c r="AB5" s="12"/>
      <c r="AC5" s="12"/>
      <c r="AD5" s="12"/>
    </row>
    <row r="6">
      <c r="A6" s="15">
        <v>2000.0</v>
      </c>
      <c r="B6" s="12"/>
      <c r="C6" s="90">
        <v>1235396.0</v>
      </c>
      <c r="D6" s="90">
        <v>94631.0</v>
      </c>
      <c r="E6" s="90">
        <v>780.0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91"/>
      <c r="S6" s="91">
        <v>5494.0</v>
      </c>
      <c r="T6" s="12"/>
      <c r="U6" s="12"/>
      <c r="V6" s="12"/>
      <c r="W6" s="91">
        <v>192670.0</v>
      </c>
      <c r="X6" s="90">
        <v>1440769.0</v>
      </c>
      <c r="Y6" s="12"/>
      <c r="Z6" s="12"/>
      <c r="AA6" s="12"/>
      <c r="AB6" s="12"/>
      <c r="AC6" s="12"/>
      <c r="AD6" s="12"/>
    </row>
    <row r="7">
      <c r="A7" s="15">
        <v>2001.0</v>
      </c>
      <c r="B7" s="12"/>
      <c r="C7" s="90">
        <v>1171753.0</v>
      </c>
      <c r="D7" s="90">
        <v>222220.0</v>
      </c>
      <c r="E7" s="90">
        <v>5314.0</v>
      </c>
      <c r="F7" s="12"/>
      <c r="G7" s="12"/>
      <c r="H7" s="12"/>
      <c r="I7" s="12"/>
      <c r="J7" s="12"/>
      <c r="K7" s="12"/>
      <c r="L7" s="12"/>
      <c r="M7" s="12"/>
      <c r="N7" s="12"/>
      <c r="O7" s="90">
        <v>139.0</v>
      </c>
      <c r="P7" s="12"/>
      <c r="Q7" s="12"/>
      <c r="R7" s="91"/>
      <c r="S7" s="91">
        <v>27055.0</v>
      </c>
      <c r="T7" s="12"/>
      <c r="U7" s="12"/>
      <c r="V7" s="90">
        <v>43403.0</v>
      </c>
      <c r="W7" s="91">
        <v>301770.0</v>
      </c>
      <c r="X7" s="90">
        <v>1528762.0</v>
      </c>
      <c r="Y7" s="12"/>
      <c r="Z7" s="12"/>
      <c r="AA7" s="12"/>
      <c r="AB7" s="12"/>
      <c r="AC7" s="12"/>
      <c r="AD7" s="12"/>
    </row>
    <row r="8">
      <c r="A8" s="15">
        <v>2002.0</v>
      </c>
      <c r="B8" s="12"/>
      <c r="C8" s="90">
        <v>1003606.0</v>
      </c>
      <c r="D8" s="90">
        <v>1499075.0</v>
      </c>
      <c r="E8" s="90">
        <v>12210.0</v>
      </c>
      <c r="F8" s="12"/>
      <c r="G8" s="12"/>
      <c r="H8" s="12"/>
      <c r="I8" s="12"/>
      <c r="J8" s="12"/>
      <c r="K8" s="12"/>
      <c r="L8" s="12"/>
      <c r="M8" s="12"/>
      <c r="N8" s="12"/>
      <c r="O8" s="90">
        <f>average(O7,O9)</f>
        <v>531.5</v>
      </c>
      <c r="P8" s="12"/>
      <c r="Q8" s="12"/>
      <c r="R8" s="91"/>
      <c r="S8" s="91">
        <v>54777.0</v>
      </c>
      <c r="T8" s="12"/>
      <c r="U8" s="12"/>
      <c r="V8" s="90">
        <v>175510.0</v>
      </c>
      <c r="W8" s="12"/>
      <c r="X8" s="90">
        <v>2035184.0</v>
      </c>
      <c r="Y8" s="12"/>
      <c r="Z8" s="12"/>
      <c r="AA8" s="12"/>
      <c r="AB8" s="12"/>
      <c r="AC8" s="12"/>
      <c r="AD8" s="12"/>
    </row>
    <row r="9">
      <c r="A9" s="15">
        <v>2003.0</v>
      </c>
      <c r="B9" s="12"/>
      <c r="C9" s="90">
        <v>863661.0</v>
      </c>
      <c r="D9" s="90">
        <v>2339813.0</v>
      </c>
      <c r="E9" s="90">
        <v>21535.0</v>
      </c>
      <c r="F9" s="12"/>
      <c r="G9" s="12"/>
      <c r="H9" s="12"/>
      <c r="I9" s="12"/>
      <c r="J9" s="12"/>
      <c r="K9" s="12"/>
      <c r="L9" s="12"/>
      <c r="M9" s="12"/>
      <c r="N9" s="12"/>
      <c r="O9" s="90">
        <v>924.0</v>
      </c>
      <c r="P9" s="12"/>
      <c r="Q9" s="12"/>
      <c r="R9" s="91"/>
      <c r="S9" s="91">
        <v>354746.0</v>
      </c>
      <c r="T9" s="12"/>
      <c r="U9" s="12"/>
      <c r="V9" s="90">
        <v>241840.0</v>
      </c>
      <c r="W9" s="12"/>
      <c r="X9" s="90">
        <v>404790.0</v>
      </c>
      <c r="Y9" s="12"/>
      <c r="Z9" s="12"/>
      <c r="AA9" s="12"/>
      <c r="AB9" s="12"/>
      <c r="AC9" s="12"/>
      <c r="AD9" s="12"/>
    </row>
    <row r="10">
      <c r="A10" s="15">
        <v>2004.0</v>
      </c>
      <c r="B10" s="12"/>
      <c r="C10" s="90">
        <v>914372.0</v>
      </c>
      <c r="D10" s="90">
        <v>1843013.0</v>
      </c>
      <c r="E10" s="90">
        <v>40873.0</v>
      </c>
      <c r="F10" s="12"/>
      <c r="G10" s="12"/>
      <c r="H10" s="12"/>
      <c r="I10" s="12"/>
      <c r="J10" s="12"/>
      <c r="K10" s="12"/>
      <c r="L10" s="12"/>
      <c r="M10" s="12"/>
      <c r="N10" s="12"/>
      <c r="O10" s="90">
        <v>991.0</v>
      </c>
      <c r="P10" s="12"/>
      <c r="Q10" s="12"/>
      <c r="R10" s="12"/>
      <c r="S10" s="12"/>
      <c r="T10" s="12"/>
      <c r="U10" s="12"/>
      <c r="V10" s="91">
        <v>244000.0</v>
      </c>
      <c r="W10" s="12"/>
      <c r="X10" s="90">
        <v>533849.0</v>
      </c>
      <c r="Y10" s="12"/>
      <c r="Z10" s="12"/>
      <c r="AA10" s="12"/>
      <c r="AB10" s="12"/>
      <c r="AC10" s="12"/>
      <c r="AD10" s="12"/>
    </row>
    <row r="11">
      <c r="A11" s="15">
        <v>2005.0</v>
      </c>
      <c r="B11" s="12"/>
      <c r="C11" s="90">
        <v>962660.0</v>
      </c>
      <c r="D11" s="90">
        <v>2119455.0</v>
      </c>
      <c r="E11" s="90">
        <v>67428.0</v>
      </c>
      <c r="F11" s="12"/>
      <c r="G11" s="12"/>
      <c r="H11" s="12"/>
      <c r="I11" s="12"/>
      <c r="J11" s="12"/>
      <c r="K11" s="12"/>
      <c r="L11" s="12"/>
      <c r="M11" s="12"/>
      <c r="N11" s="12"/>
      <c r="O11" s="90">
        <v>3990.0</v>
      </c>
      <c r="P11" s="12"/>
      <c r="Q11" s="12"/>
      <c r="R11" s="12"/>
      <c r="S11" s="12"/>
      <c r="T11" s="12"/>
      <c r="U11" s="12"/>
      <c r="V11" s="91">
        <v>686000.0</v>
      </c>
      <c r="W11" s="12"/>
      <c r="X11" s="90">
        <v>665268.0</v>
      </c>
      <c r="Y11" s="12"/>
      <c r="Z11" s="12"/>
      <c r="AA11" s="12"/>
      <c r="AB11" s="12"/>
      <c r="AC11" s="12"/>
      <c r="AD11" s="12"/>
    </row>
    <row r="12">
      <c r="A12" s="15">
        <v>2006.0</v>
      </c>
      <c r="B12" s="12"/>
      <c r="C12" s="90">
        <v>1123103.0</v>
      </c>
      <c r="D12" s="90">
        <v>2237586.0</v>
      </c>
      <c r="E12" s="90">
        <v>101315.0</v>
      </c>
      <c r="F12" s="12"/>
      <c r="G12" s="12"/>
      <c r="H12" s="12"/>
      <c r="I12" s="12"/>
      <c r="J12" s="12"/>
      <c r="K12" s="12"/>
      <c r="L12" s="12"/>
      <c r="M12" s="12"/>
      <c r="N12" s="12"/>
      <c r="O12" s="90">
        <v>8575.0</v>
      </c>
      <c r="P12" s="12"/>
      <c r="Q12" s="12"/>
      <c r="R12" s="12"/>
      <c r="S12" s="12"/>
      <c r="T12" s="12"/>
      <c r="U12" s="12"/>
      <c r="V12" s="91">
        <v>752000.0</v>
      </c>
      <c r="W12" s="12"/>
      <c r="X12" s="90">
        <v>724610.0</v>
      </c>
      <c r="Y12" s="12"/>
      <c r="Z12" s="12"/>
      <c r="AA12" s="12"/>
      <c r="AB12" s="12"/>
      <c r="AC12" s="12"/>
      <c r="AD12" s="12"/>
    </row>
    <row r="13">
      <c r="A13" s="15">
        <v>2007.0</v>
      </c>
      <c r="B13" s="12"/>
      <c r="C13" s="90">
        <v>1409409.0</v>
      </c>
      <c r="D13" s="90">
        <v>2665332.0</v>
      </c>
      <c r="E13" s="90">
        <v>168991.0</v>
      </c>
      <c r="F13" s="12"/>
      <c r="G13" s="12"/>
      <c r="H13" s="12"/>
      <c r="I13" s="12"/>
      <c r="J13" s="12"/>
      <c r="K13" s="12"/>
      <c r="L13" s="12"/>
      <c r="M13" s="12"/>
      <c r="N13" s="12"/>
      <c r="O13" s="90">
        <v>13382.0</v>
      </c>
      <c r="P13" s="12"/>
      <c r="Q13" s="12"/>
      <c r="R13" s="12"/>
      <c r="S13" s="12"/>
      <c r="T13" s="12"/>
      <c r="U13" s="12"/>
      <c r="V13" s="91">
        <v>859000.0</v>
      </c>
      <c r="W13" s="12"/>
      <c r="X13" s="90">
        <v>943562.0</v>
      </c>
      <c r="Y13" s="12"/>
      <c r="Z13" s="12"/>
      <c r="AA13" s="12"/>
      <c r="AB13" s="12"/>
      <c r="AC13" s="12"/>
      <c r="AD13" s="12"/>
    </row>
    <row r="14">
      <c r="A14" s="15">
        <v>2008.0</v>
      </c>
      <c r="B14" s="12"/>
      <c r="C14" s="90">
        <v>1884806.0</v>
      </c>
      <c r="D14" s="90">
        <v>2937013.0</v>
      </c>
      <c r="E14" s="90">
        <v>224878.0</v>
      </c>
      <c r="F14" s="12"/>
      <c r="G14" s="12"/>
      <c r="H14" s="12"/>
      <c r="I14" s="12"/>
      <c r="J14" s="12"/>
      <c r="K14" s="12"/>
      <c r="L14" s="12"/>
      <c r="M14" s="12"/>
      <c r="N14" s="12"/>
      <c r="O14" s="90">
        <v>22644.0</v>
      </c>
      <c r="P14" s="12"/>
      <c r="Q14" s="12"/>
      <c r="R14" s="12"/>
      <c r="S14" s="12"/>
      <c r="T14" s="12"/>
      <c r="U14" s="12"/>
      <c r="V14" s="91">
        <v>870000.0</v>
      </c>
      <c r="W14" s="12"/>
      <c r="X14" s="90">
        <v>1387219.0</v>
      </c>
      <c r="Y14" s="12"/>
      <c r="Z14" s="12"/>
      <c r="AA14" s="12"/>
      <c r="AB14" s="12"/>
      <c r="AC14" s="12"/>
      <c r="AD14" s="12"/>
    </row>
    <row r="15">
      <c r="A15" s="15">
        <v>2009.0</v>
      </c>
      <c r="B15" s="12"/>
      <c r="C15" s="90">
        <v>2338212.0</v>
      </c>
      <c r="D15" s="90">
        <v>2743051.0</v>
      </c>
      <c r="E15" s="90">
        <v>300051.0</v>
      </c>
      <c r="F15" s="90">
        <v>352089.0</v>
      </c>
      <c r="G15" s="12"/>
      <c r="H15" s="12"/>
      <c r="I15" s="12"/>
      <c r="J15" s="90">
        <v>68552.0</v>
      </c>
      <c r="K15" s="12"/>
      <c r="L15" s="91">
        <v>189683.0</v>
      </c>
      <c r="M15" s="12"/>
      <c r="N15" s="12"/>
      <c r="O15" s="90">
        <v>22997.0</v>
      </c>
      <c r="P15" s="12"/>
      <c r="Q15" s="12"/>
      <c r="R15" s="12"/>
      <c r="S15" s="12"/>
      <c r="T15" s="12"/>
      <c r="U15" s="12"/>
      <c r="V15" s="91">
        <v>738000.0</v>
      </c>
      <c r="W15" s="12"/>
      <c r="X15" s="90">
        <v>1357810.0</v>
      </c>
      <c r="Y15" s="12"/>
      <c r="Z15" s="12"/>
      <c r="AA15" s="12"/>
      <c r="AB15" s="12"/>
      <c r="AC15" s="12"/>
      <c r="AD15" s="12"/>
    </row>
    <row r="16">
      <c r="A16" s="15">
        <v>2010.0</v>
      </c>
      <c r="B16" s="12"/>
      <c r="C16" s="90">
        <v>3084905.0</v>
      </c>
      <c r="D16" s="90">
        <v>3033645.0</v>
      </c>
      <c r="E16" s="90">
        <v>450001.0</v>
      </c>
      <c r="F16" s="90">
        <v>484635.0</v>
      </c>
      <c r="G16" s="12"/>
      <c r="H16" s="12"/>
      <c r="I16" s="12"/>
      <c r="J16" s="90">
        <v>83560.0</v>
      </c>
      <c r="K16" s="12"/>
      <c r="L16" s="91">
        <v>265347.0</v>
      </c>
      <c r="M16" s="12"/>
      <c r="N16" s="12"/>
      <c r="O16" s="90">
        <v>31653.0</v>
      </c>
      <c r="P16" s="12"/>
      <c r="Q16" s="12"/>
      <c r="R16" s="12"/>
      <c r="S16" s="12"/>
      <c r="T16" s="12"/>
      <c r="U16" s="12"/>
      <c r="V16" s="91">
        <v>757487.0</v>
      </c>
      <c r="W16" s="12"/>
      <c r="X16" s="90">
        <v>1503220.0</v>
      </c>
      <c r="Y16" s="12"/>
      <c r="Z16" s="12"/>
      <c r="AA16" s="12"/>
      <c r="AB16" s="12"/>
      <c r="AC16" s="12"/>
      <c r="AD16" s="12"/>
    </row>
    <row r="17">
      <c r="A17" s="15">
        <v>2011.0</v>
      </c>
      <c r="B17" s="12"/>
      <c r="C17" s="90">
        <v>4355610.0</v>
      </c>
      <c r="D17" s="90">
        <v>3449009.0</v>
      </c>
      <c r="E17" s="90">
        <v>573840.0</v>
      </c>
      <c r="F17" s="90">
        <v>637063.0</v>
      </c>
      <c r="G17" s="12"/>
      <c r="H17" s="12"/>
      <c r="I17" s="12"/>
      <c r="J17" s="90">
        <v>124721.0</v>
      </c>
      <c r="K17" s="12"/>
      <c r="L17" s="91">
        <v>292290.0</v>
      </c>
      <c r="M17" s="12"/>
      <c r="N17" s="12"/>
      <c r="O17" s="90">
        <v>46766.0</v>
      </c>
      <c r="P17" s="12"/>
      <c r="Q17" s="12"/>
      <c r="R17" s="12"/>
      <c r="S17" s="12"/>
      <c r="T17" s="12"/>
      <c r="U17" s="12"/>
      <c r="V17" s="91">
        <v>767819.0</v>
      </c>
      <c r="W17" s="12"/>
      <c r="X17" s="90">
        <v>1951711.0</v>
      </c>
      <c r="Y17" s="12"/>
      <c r="Z17" s="12"/>
      <c r="AA17" s="12"/>
      <c r="AB17" s="12"/>
      <c r="AC17" s="12"/>
      <c r="AD17" s="12"/>
    </row>
    <row r="18">
      <c r="A18" s="15">
        <v>2012.0</v>
      </c>
      <c r="B18" s="12"/>
      <c r="C18" s="90">
        <v>5260956.0</v>
      </c>
      <c r="D18" s="90">
        <v>4030347.0</v>
      </c>
      <c r="E18" s="90">
        <v>681932.0</v>
      </c>
      <c r="F18" s="90">
        <v>763000.0</v>
      </c>
      <c r="G18" s="12"/>
      <c r="H18" s="90">
        <v>565684.0</v>
      </c>
      <c r="I18" s="12"/>
      <c r="J18" s="90">
        <v>196599.0</v>
      </c>
      <c r="K18" s="12"/>
      <c r="L18" s="91">
        <v>334638.0</v>
      </c>
      <c r="M18" s="12"/>
      <c r="N18" s="12"/>
      <c r="O18" s="90">
        <v>58770.0</v>
      </c>
      <c r="P18" s="12"/>
      <c r="Q18" s="12"/>
      <c r="R18" s="90"/>
      <c r="S18" s="90">
        <v>98981.0</v>
      </c>
      <c r="T18" s="12"/>
      <c r="U18" s="12"/>
      <c r="V18" s="91">
        <v>778796.0</v>
      </c>
      <c r="W18" s="12"/>
      <c r="X18" s="90">
        <v>2021311.0</v>
      </c>
      <c r="Y18" s="12"/>
      <c r="Z18" s="12"/>
      <c r="AA18" s="12"/>
      <c r="AB18" s="12"/>
      <c r="AC18" s="12"/>
      <c r="AD18" s="12"/>
    </row>
    <row r="19">
      <c r="A19" s="15">
        <v>2013.0</v>
      </c>
      <c r="B19" s="12"/>
      <c r="C19" s="90">
        <v>6793306.0</v>
      </c>
      <c r="D19" s="90">
        <v>4771259.0</v>
      </c>
      <c r="E19" s="90">
        <v>909456.0</v>
      </c>
      <c r="F19" s="90">
        <v>945000.0</v>
      </c>
      <c r="G19" s="12"/>
      <c r="H19" s="90">
        <v>614063.0</v>
      </c>
      <c r="I19" s="12"/>
      <c r="J19" s="90">
        <v>228822.0</v>
      </c>
      <c r="K19" s="12"/>
      <c r="L19" s="91">
        <v>383364.0</v>
      </c>
      <c r="M19" s="12"/>
      <c r="N19" s="12"/>
      <c r="O19" s="90">
        <v>69113.0</v>
      </c>
      <c r="P19" s="12"/>
      <c r="Q19" s="12"/>
      <c r="R19" s="90"/>
      <c r="S19" s="90">
        <v>169883.0</v>
      </c>
      <c r="T19" s="12"/>
      <c r="U19" s="12"/>
      <c r="V19" s="91">
        <v>847003.0</v>
      </c>
      <c r="W19" s="12"/>
      <c r="X19" s="90">
        <v>1802800.0</v>
      </c>
      <c r="Y19" s="90">
        <v>106643.4744</v>
      </c>
      <c r="Z19" s="12"/>
      <c r="AA19" s="12"/>
      <c r="AB19" s="12"/>
      <c r="AC19" s="12"/>
      <c r="AD19" s="12"/>
    </row>
    <row r="20">
      <c r="A20" s="15">
        <v>2014.0</v>
      </c>
      <c r="B20" s="12"/>
      <c r="C20" s="90">
        <v>8441971.0</v>
      </c>
      <c r="D20" s="90">
        <v>5763485.0</v>
      </c>
      <c r="E20" s="90">
        <v>1200673.0</v>
      </c>
      <c r="F20" s="90">
        <v>1246000.0</v>
      </c>
      <c r="G20" s="90">
        <v>375560.0</v>
      </c>
      <c r="H20" s="90">
        <v>660354.0</v>
      </c>
      <c r="I20" s="12"/>
      <c r="J20" s="90">
        <v>256543.0</v>
      </c>
      <c r="K20" s="12"/>
      <c r="L20" s="91">
        <v>468097.0</v>
      </c>
      <c r="M20" s="12"/>
      <c r="N20" s="90">
        <v>4477.0</v>
      </c>
      <c r="O20" s="90">
        <v>92923.0</v>
      </c>
      <c r="P20" s="12"/>
      <c r="Q20" s="12"/>
      <c r="R20" s="90"/>
      <c r="S20" s="90">
        <v>178457.0</v>
      </c>
      <c r="T20" s="12"/>
      <c r="U20" s="12"/>
      <c r="V20" s="91">
        <v>932007.0</v>
      </c>
      <c r="W20" s="12"/>
      <c r="X20" s="90">
        <v>2079928.0</v>
      </c>
      <c r="Y20" s="90">
        <v>138219.76559999998</v>
      </c>
      <c r="Z20" s="12"/>
      <c r="AA20" s="92">
        <v>6293.0</v>
      </c>
      <c r="AB20" s="12"/>
      <c r="AC20" s="12"/>
      <c r="AD20" s="12"/>
    </row>
    <row r="21">
      <c r="A21" s="15">
        <v>2015.0</v>
      </c>
      <c r="B21" s="93">
        <v>919041.0</v>
      </c>
      <c r="C21" s="90">
        <v>9223987.0</v>
      </c>
      <c r="D21" s="90">
        <v>6672317.0</v>
      </c>
      <c r="E21" s="90">
        <v>1678744.0</v>
      </c>
      <c r="F21" s="90">
        <v>1492000.0</v>
      </c>
      <c r="G21" s="90">
        <v>536819.0</v>
      </c>
      <c r="H21" s="90">
        <v>154985.0</v>
      </c>
      <c r="I21" s="90">
        <v>421711.0</v>
      </c>
      <c r="J21" s="90">
        <v>300515.0</v>
      </c>
      <c r="K21" s="12"/>
      <c r="L21" s="91">
        <v>540285.0</v>
      </c>
      <c r="M21" s="12"/>
      <c r="N21" s="90">
        <v>7739.0</v>
      </c>
      <c r="O21" s="90">
        <v>91502.0</v>
      </c>
      <c r="P21" s="12"/>
      <c r="Q21" s="12"/>
      <c r="R21" s="90"/>
      <c r="S21" s="90">
        <v>271837.0</v>
      </c>
      <c r="T21" s="12"/>
      <c r="U21" s="12"/>
      <c r="V21" s="12"/>
      <c r="W21" s="12"/>
      <c r="X21" s="90">
        <v>1815252.0</v>
      </c>
      <c r="Y21" s="90">
        <v>162931.9412</v>
      </c>
      <c r="Z21" s="90">
        <v>26156.0</v>
      </c>
      <c r="AA21" s="92">
        <v>86864.0</v>
      </c>
      <c r="AB21" s="12"/>
      <c r="AC21" s="92">
        <v>708.756</v>
      </c>
      <c r="AD21" s="12"/>
    </row>
    <row r="22">
      <c r="A22" s="15">
        <v>2016.0</v>
      </c>
      <c r="B22" s="93">
        <v>1655576.0</v>
      </c>
      <c r="C22" s="90">
        <v>1.0743E7</v>
      </c>
      <c r="D22" s="90">
        <v>8773564.0</v>
      </c>
      <c r="E22" s="90">
        <v>2766762.0</v>
      </c>
      <c r="F22" s="90">
        <v>1480000.0</v>
      </c>
      <c r="G22" s="90">
        <v>794969.0</v>
      </c>
      <c r="H22" s="90">
        <v>527416.0</v>
      </c>
      <c r="I22" s="90">
        <v>411162.0</v>
      </c>
      <c r="J22" s="90">
        <v>337068.0</v>
      </c>
      <c r="K22" s="12"/>
      <c r="L22" s="91">
        <v>457089.0</v>
      </c>
      <c r="M22" s="12"/>
      <c r="N22" s="90">
        <v>8967.0</v>
      </c>
      <c r="O22" s="90">
        <v>114695.0</v>
      </c>
      <c r="P22" s="12"/>
      <c r="Q22" s="12"/>
      <c r="R22" s="90"/>
      <c r="S22" s="90">
        <v>275682.0</v>
      </c>
      <c r="T22" s="12"/>
      <c r="U22" s="12"/>
      <c r="V22" s="12"/>
      <c r="W22" s="12"/>
      <c r="X22" s="90">
        <v>1958096.0</v>
      </c>
      <c r="Y22" s="90">
        <v>194793.5586</v>
      </c>
      <c r="Z22" s="90">
        <v>37065.0</v>
      </c>
      <c r="AA22" s="92">
        <v>328958.0</v>
      </c>
      <c r="AB22" s="12"/>
      <c r="AC22" s="92">
        <v>66322.705</v>
      </c>
      <c r="AD22" s="12"/>
    </row>
    <row r="23">
      <c r="A23" s="15">
        <v>2017.0</v>
      </c>
      <c r="B23" s="93">
        <v>2561721.0</v>
      </c>
      <c r="C23" s="90">
        <v>1.2681E7</v>
      </c>
      <c r="D23" s="90">
        <v>1.0059844E7</v>
      </c>
      <c r="E23" s="90">
        <v>4112604.0</v>
      </c>
      <c r="F23" s="90">
        <v>1556000.0</v>
      </c>
      <c r="G23" s="90">
        <v>1241734.0</v>
      </c>
      <c r="H23" s="90">
        <v>520185.0</v>
      </c>
      <c r="I23" s="90">
        <v>523940.0</v>
      </c>
      <c r="J23" s="90">
        <v>447979.0</v>
      </c>
      <c r="K23" s="12"/>
      <c r="L23" s="90">
        <v>446000.0</v>
      </c>
      <c r="M23" s="12"/>
      <c r="N23" s="90">
        <v>11839.0</v>
      </c>
      <c r="O23" s="90">
        <v>158991.0</v>
      </c>
      <c r="P23" s="12"/>
      <c r="Q23" s="12"/>
      <c r="R23" s="90"/>
      <c r="S23" s="90">
        <v>310415.0</v>
      </c>
      <c r="T23" s="90">
        <v>19710.0</v>
      </c>
      <c r="U23" s="90">
        <v>144866.0</v>
      </c>
      <c r="V23" s="12"/>
      <c r="W23" s="12"/>
      <c r="X23" s="90">
        <v>2036787.0</v>
      </c>
      <c r="Y23" s="90">
        <v>289420.38345</v>
      </c>
      <c r="Z23" s="90">
        <v>49536.0</v>
      </c>
      <c r="AA23" s="92">
        <v>861180.0</v>
      </c>
      <c r="AB23" s="92">
        <v>48286.0</v>
      </c>
      <c r="AC23" s="92">
        <v>105305.0</v>
      </c>
      <c r="AD23" s="12"/>
    </row>
    <row r="24">
      <c r="A24" s="15">
        <v>2018.0</v>
      </c>
      <c r="B24" s="93">
        <v>3651985.0</v>
      </c>
      <c r="C24" s="90">
        <v>1.4527E7</v>
      </c>
      <c r="D24" s="90">
        <v>1.1223E7</v>
      </c>
      <c r="E24" s="90">
        <v>4518459.0</v>
      </c>
      <c r="F24" s="90">
        <v>1615000.0</v>
      </c>
      <c r="G24" s="90">
        <v>1047465.0</v>
      </c>
      <c r="H24" s="90">
        <v>630946.0</v>
      </c>
      <c r="I24" s="90">
        <v>530614.0</v>
      </c>
      <c r="J24" s="90">
        <v>675691.0</v>
      </c>
      <c r="K24" s="12"/>
      <c r="L24" s="90">
        <v>428000.0</v>
      </c>
      <c r="M24" s="12"/>
      <c r="N24" s="90">
        <v>18992.0</v>
      </c>
      <c r="O24" s="90">
        <v>562740.0</v>
      </c>
      <c r="P24" s="12"/>
      <c r="Q24" s="12"/>
      <c r="R24" s="90"/>
      <c r="S24" s="90">
        <v>333089.0</v>
      </c>
      <c r="T24" s="90">
        <v>38713.0</v>
      </c>
      <c r="U24" s="90">
        <v>189674.0</v>
      </c>
      <c r="V24" s="12"/>
      <c r="W24" s="12"/>
      <c r="X24" s="90">
        <v>2162360.0</v>
      </c>
      <c r="Y24" s="90">
        <v>331963.20355</v>
      </c>
      <c r="Z24" s="90">
        <v>65953.0</v>
      </c>
      <c r="AA24" s="92">
        <v>1235990.0</v>
      </c>
      <c r="AB24" s="92">
        <v>46650.0</v>
      </c>
      <c r="AC24" s="92">
        <v>186035.0</v>
      </c>
      <c r="AD24" s="12"/>
    </row>
    <row r="25">
      <c r="A25" s="15">
        <v>2019.0</v>
      </c>
      <c r="B25" s="93">
        <v>4805239.0</v>
      </c>
      <c r="C25" s="90">
        <v>1.5066E7</v>
      </c>
      <c r="D25" s="90">
        <v>1.2067E7</v>
      </c>
      <c r="E25" s="90">
        <v>5104623.0</v>
      </c>
      <c r="F25" s="90">
        <v>1560000.0</v>
      </c>
      <c r="G25" s="90">
        <v>942102.0</v>
      </c>
      <c r="H25" s="90">
        <v>619408.0</v>
      </c>
      <c r="I25" s="90">
        <v>524876.0</v>
      </c>
      <c r="J25" s="90">
        <v>486178.0</v>
      </c>
      <c r="K25" s="90">
        <v>5880.0</v>
      </c>
      <c r="L25" s="90">
        <v>381000.0</v>
      </c>
      <c r="M25" s="12"/>
      <c r="N25" s="90">
        <v>29110.0</v>
      </c>
      <c r="O25" s="90">
        <v>254094.0</v>
      </c>
      <c r="P25" s="12"/>
      <c r="Q25" s="12"/>
      <c r="R25" s="90"/>
      <c r="S25" s="90">
        <v>392116.0</v>
      </c>
      <c r="T25" s="90">
        <v>28385.0</v>
      </c>
      <c r="U25" s="90">
        <v>139109.0</v>
      </c>
      <c r="V25" s="12"/>
      <c r="W25" s="12"/>
      <c r="X25" s="90">
        <v>2129688.0</v>
      </c>
      <c r="Y25" s="90">
        <v>408600.8857</v>
      </c>
      <c r="Z25" s="90">
        <v>96242.0</v>
      </c>
      <c r="AA25" s="92">
        <v>1427710.0</v>
      </c>
      <c r="AB25" s="92">
        <v>41017.0</v>
      </c>
      <c r="AC25" s="92">
        <v>235357.0</v>
      </c>
      <c r="AD25" s="12"/>
    </row>
    <row r="26">
      <c r="A26" s="15">
        <v>2020.0</v>
      </c>
      <c r="B26" s="93">
        <v>3378199.0</v>
      </c>
      <c r="C26" s="90">
        <v>6796000.0</v>
      </c>
      <c r="D26" s="90">
        <v>5199000.0</v>
      </c>
      <c r="E26" s="90">
        <v>2802797.0</v>
      </c>
      <c r="F26" s="90">
        <v>604000.0</v>
      </c>
      <c r="G26" s="90">
        <v>305451.0</v>
      </c>
      <c r="H26" s="90">
        <v>615466.0</v>
      </c>
      <c r="I26" s="90">
        <v>131334.0</v>
      </c>
      <c r="J26" s="90">
        <v>511892.0</v>
      </c>
      <c r="K26" s="90">
        <v>14877.0</v>
      </c>
      <c r="L26" s="90">
        <v>82000.0</v>
      </c>
      <c r="M26" s="90">
        <v>62763.36657</v>
      </c>
      <c r="N26" s="90">
        <v>8197.0</v>
      </c>
      <c r="O26" s="90">
        <v>183173.0</v>
      </c>
      <c r="P26" s="12"/>
      <c r="Q26" s="12"/>
      <c r="R26" s="90"/>
      <c r="S26" s="90">
        <v>128926.0</v>
      </c>
      <c r="T26" s="90">
        <v>22595.0</v>
      </c>
      <c r="U26" s="90">
        <v>98413.0</v>
      </c>
      <c r="V26" s="12"/>
      <c r="W26" s="12"/>
      <c r="X26" s="90">
        <v>1402859.0</v>
      </c>
      <c r="Y26" s="90">
        <v>137758.984</v>
      </c>
      <c r="Z26" s="90">
        <v>38884.0</v>
      </c>
      <c r="AA26" s="92">
        <v>549441.0</v>
      </c>
      <c r="AB26" s="92">
        <v>14635.0</v>
      </c>
      <c r="AC26" s="92">
        <v>148011.0</v>
      </c>
      <c r="AD26" s="12"/>
    </row>
    <row r="27">
      <c r="A27" s="15">
        <v>2021.0</v>
      </c>
      <c r="B27" s="93">
        <v>5991760.0</v>
      </c>
      <c r="C27" s="90">
        <v>1.0958E7</v>
      </c>
      <c r="D27" s="90">
        <v>8598000.0</v>
      </c>
      <c r="E27" s="90">
        <v>3143131.0</v>
      </c>
      <c r="F27" s="90">
        <v>902000.0</v>
      </c>
      <c r="G27" s="90">
        <v>409395.0</v>
      </c>
      <c r="H27" s="90">
        <v>125659.0</v>
      </c>
      <c r="I27" s="90">
        <v>322843.0</v>
      </c>
      <c r="J27" s="90">
        <v>167112.0</v>
      </c>
      <c r="K27" s="90">
        <v>18693.0</v>
      </c>
      <c r="L27" s="90">
        <v>162000.0</v>
      </c>
      <c r="M27" s="90">
        <v>130216.2006</v>
      </c>
      <c r="N27" s="90">
        <v>10638.0</v>
      </c>
      <c r="O27" s="90">
        <v>29420.0</v>
      </c>
      <c r="P27" s="92">
        <v>28438.0</v>
      </c>
      <c r="Q27" s="12"/>
      <c r="R27" s="90"/>
      <c r="S27" s="90">
        <v>186424.0</v>
      </c>
      <c r="T27" s="90">
        <v>19021.0</v>
      </c>
      <c r="U27" s="90">
        <v>19091.0</v>
      </c>
      <c r="V27" s="12"/>
      <c r="W27" s="12"/>
      <c r="X27" s="90">
        <v>474546.0</v>
      </c>
      <c r="Y27" s="90">
        <v>153177.1548</v>
      </c>
      <c r="Z27" s="90">
        <v>51714.0</v>
      </c>
      <c r="AA27" s="92">
        <v>776362.0</v>
      </c>
      <c r="AB27" s="92">
        <v>15303.0</v>
      </c>
      <c r="AC27" s="92">
        <v>131648.0</v>
      </c>
      <c r="AD27" s="12"/>
    </row>
    <row r="28">
      <c r="A28" s="15">
        <v>2022.0</v>
      </c>
      <c r="B28" s="93">
        <v>8399000.0</v>
      </c>
      <c r="C28" s="90">
        <v>1.709E7</v>
      </c>
      <c r="D28" s="90">
        <v>1.1667E7</v>
      </c>
      <c r="E28" s="90">
        <v>2868451.0</v>
      </c>
      <c r="F28" s="90">
        <v>1492000.0</v>
      </c>
      <c r="G28" s="90">
        <v>570635.0</v>
      </c>
      <c r="H28" s="90">
        <v>454166.0</v>
      </c>
      <c r="I28" s="90">
        <v>537972.0</v>
      </c>
      <c r="J28" s="90">
        <v>307406.0</v>
      </c>
      <c r="K28" s="90">
        <v>50213.0</v>
      </c>
      <c r="L28" s="90">
        <v>246000.0</v>
      </c>
      <c r="M28" s="90">
        <v>137461.4497</v>
      </c>
      <c r="N28" s="90">
        <v>21231.0</v>
      </c>
      <c r="O28" s="90">
        <v>103775.0</v>
      </c>
      <c r="P28" s="92">
        <v>58078.0</v>
      </c>
      <c r="Q28" s="12"/>
      <c r="R28" s="90"/>
      <c r="S28" s="90">
        <v>328118.0</v>
      </c>
      <c r="T28" s="90">
        <v>31388.0</v>
      </c>
      <c r="U28" s="90">
        <v>28335.0</v>
      </c>
      <c r="V28" s="12"/>
      <c r="W28" s="12"/>
      <c r="X28" s="90">
        <v>720034.0</v>
      </c>
      <c r="Y28" s="90">
        <v>342604.48600000003</v>
      </c>
      <c r="Z28" s="90">
        <v>115247.0</v>
      </c>
      <c r="AA28" s="92">
        <v>264081.0</v>
      </c>
      <c r="AB28" s="92">
        <v>11640.0</v>
      </c>
      <c r="AC28" s="92">
        <v>227051.0</v>
      </c>
      <c r="AD28" s="12"/>
    </row>
    <row r="29">
      <c r="A29" s="15">
        <v>2023.0</v>
      </c>
      <c r="B29" s="93">
        <v>9917000.0</v>
      </c>
      <c r="C29" s="90">
        <v>2.1365E7</v>
      </c>
      <c r="D29" s="90">
        <v>1.2839E7</v>
      </c>
      <c r="E29" s="90">
        <v>6230752.0</v>
      </c>
      <c r="F29" s="90">
        <v>1788000.0</v>
      </c>
      <c r="G29" s="90">
        <v>535959.0</v>
      </c>
      <c r="H29" s="90">
        <v>642340.0</v>
      </c>
      <c r="I29" s="90">
        <v>706040.0</v>
      </c>
      <c r="J29" s="90">
        <v>595657.0</v>
      </c>
      <c r="K29" s="90">
        <v>61007.0</v>
      </c>
      <c r="L29" s="90">
        <v>377000.0</v>
      </c>
      <c r="M29" s="90">
        <v>219141.1807</v>
      </c>
      <c r="N29" s="90">
        <v>30608.0</v>
      </c>
      <c r="O29" s="90">
        <v>244585.0</v>
      </c>
      <c r="P29" s="92">
        <v>77480.0</v>
      </c>
      <c r="Q29" s="12"/>
      <c r="R29" s="90"/>
      <c r="S29" s="90">
        <v>362292.0</v>
      </c>
      <c r="T29" s="90">
        <v>55436.0</v>
      </c>
      <c r="U29" s="90">
        <v>48406.0</v>
      </c>
      <c r="V29" s="12"/>
      <c r="W29" s="12"/>
      <c r="X29" s="90">
        <v>1512705.0</v>
      </c>
      <c r="Y29" s="90">
        <v>436790.0</v>
      </c>
      <c r="Z29" s="90">
        <v>207295.0</v>
      </c>
      <c r="AA29" s="92">
        <v>314096.0</v>
      </c>
      <c r="AB29" s="12"/>
      <c r="AC29" s="92">
        <v>298004.0</v>
      </c>
      <c r="AD29" s="12"/>
    </row>
    <row r="30">
      <c r="A30" s="15">
        <v>2024.0</v>
      </c>
      <c r="B30" s="12"/>
      <c r="C30" s="12"/>
      <c r="D30" s="12"/>
      <c r="E30" s="12"/>
      <c r="F30" s="12"/>
      <c r="G30" s="12"/>
      <c r="H30" s="90">
        <v>703268.0</v>
      </c>
      <c r="I30" s="12"/>
      <c r="J30" s="90">
        <v>783162.0</v>
      </c>
      <c r="K30" s="90">
        <v>79772.0</v>
      </c>
      <c r="L30" s="12"/>
      <c r="M30" s="12"/>
      <c r="N30" s="12"/>
      <c r="O30" s="90">
        <v>314189.0</v>
      </c>
      <c r="P30" s="12"/>
      <c r="Q30" s="12"/>
      <c r="R30" s="12"/>
      <c r="S30" s="12"/>
      <c r="T30" s="90">
        <v>73054.0</v>
      </c>
      <c r="U30" s="90">
        <v>51482.0</v>
      </c>
      <c r="V30" s="12"/>
      <c r="W30" s="12"/>
      <c r="X30" s="90">
        <v>1830865.0</v>
      </c>
      <c r="Y30" s="12"/>
      <c r="Z30" s="12"/>
      <c r="AA30" s="12"/>
      <c r="AB30" s="12"/>
      <c r="AC30" s="12"/>
      <c r="AD30" s="12"/>
    </row>
    <row r="31">
      <c r="A31" s="12"/>
      <c r="B31" s="12"/>
      <c r="C31" s="12"/>
      <c r="D31" s="12"/>
      <c r="E31" s="12"/>
      <c r="F31" s="12"/>
      <c r="G31" s="12"/>
      <c r="H31" s="90"/>
      <c r="I31" s="12"/>
      <c r="J31" s="12"/>
      <c r="K31" s="12"/>
      <c r="L31" s="12"/>
      <c r="M31" s="12"/>
      <c r="N31" s="12"/>
      <c r="O31" s="90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>
      <c r="A32" s="15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90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>
      <c r="A33" s="15"/>
      <c r="B33" s="12"/>
      <c r="C33" s="12"/>
      <c r="D33" s="90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>
      <c r="A34" s="15"/>
      <c r="B34" s="12"/>
      <c r="C34" s="90"/>
      <c r="D34" s="90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>
      <c r="A35" s="15"/>
      <c r="B35" s="12"/>
      <c r="C35" s="90"/>
      <c r="D35" s="90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>
      <c r="A36" s="15"/>
      <c r="B36" s="12"/>
      <c r="C36" s="90"/>
      <c r="D36" s="90"/>
      <c r="E36" s="90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>
      <c r="A37" s="15"/>
      <c r="B37" s="12"/>
      <c r="C37" s="90"/>
      <c r="D37" s="90"/>
      <c r="E37" s="90"/>
      <c r="F37" s="12"/>
      <c r="G37" s="12"/>
      <c r="H37" s="12"/>
      <c r="I37" s="12"/>
      <c r="J37" s="12"/>
      <c r="K37" s="12"/>
      <c r="L37" s="12"/>
      <c r="M37" s="12"/>
      <c r="N37" s="12"/>
      <c r="O37" s="90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>
      <c r="A38" s="15"/>
      <c r="B38" s="12"/>
      <c r="C38" s="90"/>
      <c r="D38" s="90"/>
      <c r="E38" s="90"/>
      <c r="F38" s="12"/>
      <c r="G38" s="12"/>
      <c r="H38" s="12"/>
      <c r="I38" s="12"/>
      <c r="J38" s="12"/>
      <c r="K38" s="12"/>
      <c r="L38" s="12"/>
      <c r="M38" s="12"/>
      <c r="N38" s="12"/>
      <c r="O38" s="90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>
      <c r="A39" s="15"/>
      <c r="B39" s="12"/>
      <c r="C39" s="90"/>
      <c r="D39" s="90"/>
      <c r="E39" s="90"/>
      <c r="F39" s="12"/>
      <c r="G39" s="12"/>
      <c r="H39" s="12"/>
      <c r="I39" s="12"/>
      <c r="J39" s="12"/>
      <c r="K39" s="12"/>
      <c r="L39" s="12"/>
      <c r="M39" s="12"/>
      <c r="N39" s="12"/>
      <c r="O39" s="90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>
      <c r="A40" s="15"/>
      <c r="B40" s="12"/>
      <c r="C40" s="90"/>
      <c r="D40" s="90"/>
      <c r="E40" s="90"/>
      <c r="F40" s="12"/>
      <c r="G40" s="12"/>
      <c r="H40" s="12"/>
      <c r="I40" s="12"/>
      <c r="J40" s="12"/>
      <c r="K40" s="12"/>
      <c r="L40" s="12"/>
      <c r="M40" s="12"/>
      <c r="N40" s="12"/>
      <c r="O40" s="90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>
      <c r="A41" s="15"/>
      <c r="B41" s="12"/>
      <c r="C41" s="90"/>
      <c r="D41" s="90"/>
      <c r="E41" s="90"/>
      <c r="F41" s="12"/>
      <c r="G41" s="12"/>
      <c r="H41" s="12"/>
      <c r="I41" s="12"/>
      <c r="J41" s="12"/>
      <c r="K41" s="12"/>
      <c r="L41" s="12"/>
      <c r="M41" s="12"/>
      <c r="N41" s="12"/>
      <c r="O41" s="90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>
      <c r="A42" s="15"/>
      <c r="B42" s="12"/>
      <c r="C42" s="90"/>
      <c r="D42" s="90"/>
      <c r="E42" s="90"/>
      <c r="F42" s="12"/>
      <c r="G42" s="12"/>
      <c r="H42" s="12"/>
      <c r="I42" s="12"/>
      <c r="J42" s="12"/>
      <c r="K42" s="12"/>
      <c r="L42" s="12"/>
      <c r="M42" s="12"/>
      <c r="N42" s="12"/>
      <c r="O42" s="90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>
      <c r="A43" s="15"/>
      <c r="B43" s="12"/>
      <c r="C43" s="90"/>
      <c r="D43" s="90"/>
      <c r="E43" s="90"/>
      <c r="F43" s="12"/>
      <c r="G43" s="12"/>
      <c r="H43" s="12"/>
      <c r="I43" s="12"/>
      <c r="J43" s="12"/>
      <c r="K43" s="12"/>
      <c r="L43" s="12"/>
      <c r="M43" s="12"/>
      <c r="N43" s="12"/>
      <c r="O43" s="90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>
      <c r="A44" s="15"/>
      <c r="B44" s="12"/>
      <c r="C44" s="90"/>
      <c r="D44" s="90"/>
      <c r="E44" s="90"/>
      <c r="F44" s="12"/>
      <c r="G44" s="12"/>
      <c r="H44" s="12"/>
      <c r="I44" s="12"/>
      <c r="J44" s="12"/>
      <c r="K44" s="12"/>
      <c r="L44" s="12"/>
      <c r="M44" s="12"/>
      <c r="N44" s="12"/>
      <c r="O44" s="90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>
      <c r="A45" s="15"/>
      <c r="B45" s="12"/>
      <c r="C45" s="90"/>
      <c r="D45" s="90"/>
      <c r="E45" s="90"/>
      <c r="F45" s="90"/>
      <c r="G45" s="12"/>
      <c r="H45" s="12"/>
      <c r="I45" s="12"/>
      <c r="J45" s="90"/>
      <c r="K45" s="12"/>
      <c r="L45" s="12"/>
      <c r="M45" s="12"/>
      <c r="N45" s="12"/>
      <c r="O45" s="90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>
      <c r="A46" s="15"/>
      <c r="B46" s="12"/>
      <c r="C46" s="90"/>
      <c r="D46" s="90"/>
      <c r="E46" s="90"/>
      <c r="F46" s="90"/>
      <c r="G46" s="12"/>
      <c r="H46" s="12"/>
      <c r="I46" s="12"/>
      <c r="J46" s="90"/>
      <c r="K46" s="12"/>
      <c r="L46" s="12"/>
      <c r="M46" s="12"/>
      <c r="N46" s="12"/>
      <c r="O46" s="90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>
      <c r="A47" s="15"/>
      <c r="B47" s="12"/>
      <c r="C47" s="90"/>
      <c r="D47" s="90"/>
      <c r="E47" s="90"/>
      <c r="F47" s="90"/>
      <c r="G47" s="12"/>
      <c r="H47" s="12"/>
      <c r="I47" s="12"/>
      <c r="J47" s="90"/>
      <c r="K47" s="12"/>
      <c r="L47" s="12"/>
      <c r="M47" s="12"/>
      <c r="N47" s="12"/>
      <c r="O47" s="90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>
      <c r="A48" s="15"/>
      <c r="B48" s="12"/>
      <c r="C48" s="90"/>
      <c r="D48" s="90"/>
      <c r="E48" s="90"/>
      <c r="F48" s="90"/>
      <c r="G48" s="12"/>
      <c r="H48" s="90"/>
      <c r="I48" s="12"/>
      <c r="J48" s="90"/>
      <c r="K48" s="12"/>
      <c r="L48" s="12"/>
      <c r="M48" s="12"/>
      <c r="N48" s="12"/>
      <c r="O48" s="90"/>
      <c r="P48" s="12"/>
      <c r="Q48" s="12"/>
      <c r="R48" s="90"/>
      <c r="S48" s="90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>
      <c r="A49" s="15"/>
      <c r="B49" s="12"/>
      <c r="C49" s="90"/>
      <c r="D49" s="90"/>
      <c r="E49" s="90"/>
      <c r="F49" s="90"/>
      <c r="G49" s="12"/>
      <c r="H49" s="90"/>
      <c r="I49" s="12"/>
      <c r="J49" s="90"/>
      <c r="K49" s="12"/>
      <c r="L49" s="12"/>
      <c r="M49" s="12"/>
      <c r="N49" s="12"/>
      <c r="O49" s="90"/>
      <c r="P49" s="12"/>
      <c r="Q49" s="12"/>
      <c r="R49" s="90"/>
      <c r="S49" s="90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>
      <c r="A50" s="15"/>
      <c r="B50" s="12"/>
      <c r="C50" s="90"/>
      <c r="D50" s="90"/>
      <c r="E50" s="90"/>
      <c r="F50" s="90"/>
      <c r="G50" s="90"/>
      <c r="H50" s="90"/>
      <c r="I50" s="12"/>
      <c r="J50" s="90"/>
      <c r="K50" s="12"/>
      <c r="L50" s="12"/>
      <c r="M50" s="12"/>
      <c r="N50" s="12"/>
      <c r="O50" s="90"/>
      <c r="P50" s="12"/>
      <c r="Q50" s="12"/>
      <c r="R50" s="90"/>
      <c r="S50" s="90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1">
      <c r="A51" s="15"/>
      <c r="B51" s="93"/>
      <c r="C51" s="90"/>
      <c r="D51" s="90"/>
      <c r="E51" s="90"/>
      <c r="F51" s="90"/>
      <c r="G51" s="90"/>
      <c r="H51" s="90"/>
      <c r="I51" s="90"/>
      <c r="J51" s="90"/>
      <c r="K51" s="12"/>
      <c r="L51" s="12"/>
      <c r="M51" s="12"/>
      <c r="N51" s="12"/>
      <c r="O51" s="90"/>
      <c r="P51" s="12"/>
      <c r="Q51" s="12"/>
      <c r="R51" s="90"/>
      <c r="S51" s="90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>
      <c r="A52" s="15"/>
      <c r="B52" s="93"/>
      <c r="C52" s="90"/>
      <c r="D52" s="90"/>
      <c r="E52" s="90"/>
      <c r="F52" s="90"/>
      <c r="G52" s="90"/>
      <c r="H52" s="90"/>
      <c r="I52" s="90"/>
      <c r="J52" s="90"/>
      <c r="K52" s="12"/>
      <c r="L52" s="90"/>
      <c r="M52" s="94"/>
      <c r="N52" s="12"/>
      <c r="O52" s="90"/>
      <c r="P52" s="12"/>
      <c r="Q52" s="12"/>
      <c r="R52" s="90"/>
      <c r="S52" s="90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>
      <c r="A53" s="15"/>
      <c r="B53" s="93"/>
      <c r="C53" s="90"/>
      <c r="D53" s="90"/>
      <c r="E53" s="90"/>
      <c r="F53" s="90"/>
      <c r="G53" s="90"/>
      <c r="H53" s="90"/>
      <c r="I53" s="90"/>
      <c r="J53" s="90"/>
      <c r="K53" s="12"/>
      <c r="L53" s="90"/>
      <c r="M53" s="94"/>
      <c r="N53" s="12"/>
      <c r="O53" s="90"/>
      <c r="P53" s="12"/>
      <c r="Q53" s="12"/>
      <c r="R53" s="90"/>
      <c r="S53" s="90"/>
      <c r="T53" s="90"/>
      <c r="U53" s="90"/>
      <c r="V53" s="12"/>
      <c r="W53" s="12"/>
      <c r="X53" s="12"/>
      <c r="Y53" s="12"/>
      <c r="Z53" s="12"/>
      <c r="AA53" s="12"/>
      <c r="AB53" s="12"/>
      <c r="AC53" s="12"/>
      <c r="AD53" s="12"/>
    </row>
    <row r="54">
      <c r="A54" s="15"/>
      <c r="B54" s="93"/>
      <c r="C54" s="90"/>
      <c r="D54" s="90"/>
      <c r="E54" s="90"/>
      <c r="F54" s="90"/>
      <c r="G54" s="90"/>
      <c r="H54" s="90"/>
      <c r="I54" s="90"/>
      <c r="J54" s="90"/>
      <c r="K54" s="12"/>
      <c r="L54" s="90"/>
      <c r="M54" s="94"/>
      <c r="N54" s="12"/>
      <c r="O54" s="90"/>
      <c r="P54" s="12"/>
      <c r="Q54" s="12"/>
      <c r="R54" s="90"/>
      <c r="S54" s="90"/>
      <c r="T54" s="90"/>
      <c r="U54" s="90"/>
      <c r="V54" s="12"/>
      <c r="W54" s="12"/>
      <c r="X54" s="12"/>
      <c r="Y54" s="12"/>
      <c r="Z54" s="12"/>
      <c r="AA54" s="12"/>
      <c r="AB54" s="12"/>
      <c r="AC54" s="12"/>
      <c r="AD54" s="12"/>
    </row>
    <row r="55">
      <c r="A55" s="15"/>
      <c r="B55" s="93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4"/>
      <c r="N55" s="12"/>
      <c r="O55" s="90"/>
      <c r="P55" s="12"/>
      <c r="Q55" s="12"/>
      <c r="R55" s="90"/>
      <c r="S55" s="90"/>
      <c r="T55" s="90"/>
      <c r="U55" s="90"/>
      <c r="V55" s="12"/>
      <c r="W55" s="12"/>
      <c r="X55" s="12"/>
      <c r="Y55" s="12"/>
      <c r="Z55" s="12"/>
      <c r="AA55" s="12"/>
      <c r="AB55" s="12"/>
      <c r="AC55" s="12"/>
      <c r="AD55" s="12"/>
    </row>
    <row r="56">
      <c r="A56" s="15"/>
      <c r="B56" s="93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4"/>
      <c r="N56" s="12"/>
      <c r="O56" s="90"/>
      <c r="P56" s="12"/>
      <c r="Q56" s="12"/>
      <c r="R56" s="90"/>
      <c r="S56" s="90"/>
      <c r="T56" s="90"/>
      <c r="U56" s="90"/>
      <c r="V56" s="12"/>
      <c r="W56" s="12"/>
      <c r="X56" s="12"/>
      <c r="Y56" s="12"/>
      <c r="Z56" s="12"/>
      <c r="AA56" s="12"/>
      <c r="AB56" s="12"/>
      <c r="AC56" s="12"/>
      <c r="AD56" s="12"/>
    </row>
    <row r="57">
      <c r="A57" s="15"/>
      <c r="B57" s="93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4"/>
      <c r="N57" s="12"/>
      <c r="O57" s="90"/>
      <c r="P57" s="12"/>
      <c r="Q57" s="12"/>
      <c r="R57" s="90"/>
      <c r="S57" s="90"/>
      <c r="T57" s="90"/>
      <c r="U57" s="90"/>
      <c r="V57" s="12"/>
      <c r="W57" s="12"/>
      <c r="X57" s="12"/>
      <c r="Y57" s="12"/>
      <c r="Z57" s="12"/>
      <c r="AA57" s="12"/>
      <c r="AB57" s="12"/>
      <c r="AC57" s="12"/>
      <c r="AD57" s="12"/>
    </row>
    <row r="58">
      <c r="A58" s="15"/>
      <c r="B58" s="93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4"/>
      <c r="N58" s="12"/>
      <c r="O58" s="90"/>
      <c r="P58" s="12"/>
      <c r="Q58" s="12"/>
      <c r="R58" s="90"/>
      <c r="S58" s="90"/>
      <c r="T58" s="90"/>
      <c r="U58" s="90"/>
      <c r="V58" s="12"/>
      <c r="W58" s="12"/>
      <c r="X58" s="12"/>
      <c r="Y58" s="12"/>
      <c r="Z58" s="12"/>
      <c r="AA58" s="12"/>
      <c r="AB58" s="12"/>
      <c r="AC58" s="12"/>
      <c r="AD58" s="12"/>
    </row>
    <row r="59">
      <c r="A59" s="15"/>
      <c r="B59" s="93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4"/>
      <c r="N59" s="12"/>
      <c r="O59" s="90"/>
      <c r="P59" s="12"/>
      <c r="Q59" s="12"/>
      <c r="R59" s="90"/>
      <c r="S59" s="90"/>
      <c r="T59" s="90"/>
      <c r="U59" s="90"/>
      <c r="V59" s="12"/>
      <c r="W59" s="12"/>
      <c r="X59" s="12"/>
      <c r="Y59" s="12"/>
      <c r="Z59" s="12"/>
      <c r="AA59" s="12"/>
      <c r="AB59" s="12"/>
      <c r="AC59" s="12"/>
      <c r="AD59" s="12"/>
    </row>
    <row r="60">
      <c r="A60" s="15"/>
      <c r="B60" s="12"/>
      <c r="C60" s="12"/>
      <c r="D60" s="12"/>
      <c r="E60" s="12"/>
      <c r="F60" s="12"/>
      <c r="G60" s="12"/>
      <c r="H60" s="90"/>
      <c r="I60" s="12"/>
      <c r="J60" s="90"/>
      <c r="K60" s="90"/>
      <c r="L60" s="12"/>
      <c r="M60" s="12"/>
      <c r="N60" s="12"/>
      <c r="O60" s="90"/>
      <c r="P60" s="12"/>
      <c r="Q60" s="12"/>
      <c r="R60" s="12"/>
      <c r="S60" s="12"/>
      <c r="T60" s="90"/>
      <c r="U60" s="90"/>
      <c r="V60" s="12"/>
      <c r="W60" s="12"/>
      <c r="X60" s="12"/>
      <c r="Y60" s="12"/>
      <c r="Z60" s="12"/>
      <c r="AA60" s="12"/>
      <c r="AB60" s="12"/>
      <c r="AC60" s="12"/>
      <c r="AD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>
      <c r="A62" s="15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>
      <c r="A63" s="15"/>
      <c r="B63" s="12"/>
      <c r="C63" s="12"/>
      <c r="D63" s="95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>
      <c r="A64" s="15"/>
      <c r="B64" s="12"/>
      <c r="C64" s="95"/>
      <c r="D64" s="95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>
      <c r="A65" s="15"/>
      <c r="B65" s="12"/>
      <c r="C65" s="95"/>
      <c r="D65" s="95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>
      <c r="A66" s="15"/>
      <c r="B66" s="12"/>
      <c r="C66" s="95"/>
      <c r="D66" s="95"/>
      <c r="E66" s="95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>
      <c r="A67" s="15"/>
      <c r="B67" s="12"/>
      <c r="C67" s="95"/>
      <c r="D67" s="95"/>
      <c r="E67" s="95"/>
      <c r="F67" s="12"/>
      <c r="G67" s="12"/>
      <c r="H67" s="12"/>
      <c r="I67" s="12"/>
      <c r="J67" s="12"/>
      <c r="K67" s="12"/>
      <c r="L67" s="12"/>
      <c r="M67" s="12"/>
      <c r="N67" s="12"/>
      <c r="O67" s="95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>
      <c r="A68" s="15"/>
      <c r="B68" s="12"/>
      <c r="C68" s="95"/>
      <c r="D68" s="95"/>
      <c r="E68" s="95"/>
      <c r="F68" s="12"/>
      <c r="G68" s="12"/>
      <c r="H68" s="12"/>
      <c r="I68" s="12"/>
      <c r="J68" s="12"/>
      <c r="K68" s="12"/>
      <c r="L68" s="12"/>
      <c r="M68" s="12"/>
      <c r="N68" s="12"/>
      <c r="O68" s="95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>
      <c r="A69" s="15"/>
      <c r="B69" s="12"/>
      <c r="C69" s="95"/>
      <c r="D69" s="95"/>
      <c r="E69" s="95"/>
      <c r="F69" s="12"/>
      <c r="G69" s="12"/>
      <c r="H69" s="12"/>
      <c r="I69" s="12"/>
      <c r="J69" s="12"/>
      <c r="K69" s="12"/>
      <c r="L69" s="12"/>
      <c r="M69" s="12"/>
      <c r="N69" s="12"/>
      <c r="O69" s="95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>
      <c r="A70" s="15"/>
      <c r="B70" s="12"/>
      <c r="C70" s="95"/>
      <c r="D70" s="95"/>
      <c r="E70" s="95"/>
      <c r="F70" s="12"/>
      <c r="G70" s="12"/>
      <c r="H70" s="12"/>
      <c r="I70" s="12"/>
      <c r="J70" s="12"/>
      <c r="K70" s="12"/>
      <c r="L70" s="12"/>
      <c r="M70" s="12"/>
      <c r="N70" s="12"/>
      <c r="O70" s="95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>
      <c r="A71" s="15"/>
      <c r="B71" s="12"/>
      <c r="C71" s="95"/>
      <c r="D71" s="95"/>
      <c r="E71" s="95"/>
      <c r="F71" s="12"/>
      <c r="G71" s="12"/>
      <c r="H71" s="12"/>
      <c r="I71" s="12"/>
      <c r="J71" s="12"/>
      <c r="K71" s="12"/>
      <c r="L71" s="12"/>
      <c r="M71" s="12"/>
      <c r="N71" s="12"/>
      <c r="O71" s="95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>
      <c r="A72" s="15"/>
      <c r="B72" s="12"/>
      <c r="C72" s="95"/>
      <c r="D72" s="95"/>
      <c r="E72" s="95"/>
      <c r="F72" s="12"/>
      <c r="G72" s="12"/>
      <c r="H72" s="12"/>
      <c r="I72" s="12"/>
      <c r="J72" s="12"/>
      <c r="K72" s="12"/>
      <c r="L72" s="12"/>
      <c r="M72" s="12"/>
      <c r="N72" s="12"/>
      <c r="O72" s="95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>
      <c r="A73" s="15"/>
      <c r="B73" s="12"/>
      <c r="C73" s="95"/>
      <c r="D73" s="95"/>
      <c r="E73" s="95"/>
      <c r="F73" s="12"/>
      <c r="G73" s="12"/>
      <c r="H73" s="12"/>
      <c r="I73" s="12"/>
      <c r="J73" s="12"/>
      <c r="K73" s="12"/>
      <c r="L73" s="12"/>
      <c r="M73" s="12"/>
      <c r="N73" s="12"/>
      <c r="O73" s="95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>
      <c r="A74" s="15"/>
      <c r="B74" s="12"/>
      <c r="C74" s="95"/>
      <c r="D74" s="95"/>
      <c r="E74" s="95"/>
      <c r="F74" s="12"/>
      <c r="G74" s="12"/>
      <c r="H74" s="12"/>
      <c r="I74" s="12"/>
      <c r="J74" s="12"/>
      <c r="K74" s="12"/>
      <c r="L74" s="12"/>
      <c r="M74" s="12"/>
      <c r="N74" s="12"/>
      <c r="O74" s="95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</row>
    <row r="75">
      <c r="A75" s="15"/>
      <c r="B75" s="12"/>
      <c r="C75" s="95"/>
      <c r="D75" s="95"/>
      <c r="E75" s="95"/>
      <c r="F75" s="95"/>
      <c r="G75" s="12"/>
      <c r="H75" s="12"/>
      <c r="I75" s="12"/>
      <c r="J75" s="95"/>
      <c r="K75" s="12"/>
      <c r="L75" s="12"/>
      <c r="M75" s="12"/>
      <c r="N75" s="12"/>
      <c r="O75" s="95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</row>
    <row r="76">
      <c r="A76" s="15"/>
      <c r="B76" s="12"/>
      <c r="C76" s="95"/>
      <c r="D76" s="95"/>
      <c r="E76" s="95"/>
      <c r="F76" s="95"/>
      <c r="G76" s="12"/>
      <c r="H76" s="12"/>
      <c r="I76" s="12"/>
      <c r="J76" s="95"/>
      <c r="K76" s="12"/>
      <c r="L76" s="12"/>
      <c r="M76" s="12"/>
      <c r="N76" s="12"/>
      <c r="O76" s="95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</row>
    <row r="77">
      <c r="A77" s="15"/>
      <c r="B77" s="12"/>
      <c r="C77" s="95"/>
      <c r="D77" s="95"/>
      <c r="E77" s="95"/>
      <c r="F77" s="95"/>
      <c r="G77" s="12"/>
      <c r="H77" s="12"/>
      <c r="I77" s="12"/>
      <c r="J77" s="95"/>
      <c r="K77" s="12"/>
      <c r="L77" s="12"/>
      <c r="M77" s="12"/>
      <c r="N77" s="12"/>
      <c r="O77" s="95"/>
      <c r="P77" s="12"/>
      <c r="Q77" s="12"/>
      <c r="R77" s="95"/>
      <c r="S77" s="95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</row>
    <row r="78">
      <c r="A78" s="15"/>
      <c r="B78" s="12"/>
      <c r="C78" s="95"/>
      <c r="D78" s="95"/>
      <c r="E78" s="95"/>
      <c r="F78" s="95"/>
      <c r="G78" s="12"/>
      <c r="H78" s="95"/>
      <c r="I78" s="12"/>
      <c r="J78" s="95"/>
      <c r="K78" s="12"/>
      <c r="L78" s="12"/>
      <c r="M78" s="12"/>
      <c r="N78" s="12"/>
      <c r="O78" s="95"/>
      <c r="P78" s="12"/>
      <c r="Q78" s="12"/>
      <c r="R78" s="95"/>
      <c r="S78" s="95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</row>
    <row r="79">
      <c r="A79" s="15"/>
      <c r="B79" s="12"/>
      <c r="C79" s="95"/>
      <c r="D79" s="95"/>
      <c r="E79" s="95"/>
      <c r="F79" s="95"/>
      <c r="G79" s="12"/>
      <c r="H79" s="95"/>
      <c r="I79" s="12"/>
      <c r="J79" s="95"/>
      <c r="K79" s="12"/>
      <c r="L79" s="12"/>
      <c r="M79" s="12"/>
      <c r="N79" s="12"/>
      <c r="O79" s="95"/>
      <c r="P79" s="12"/>
      <c r="Q79" s="12"/>
      <c r="R79" s="95"/>
      <c r="S79" s="95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</row>
    <row r="80">
      <c r="A80" s="15"/>
      <c r="B80" s="12"/>
      <c r="C80" s="95"/>
      <c r="D80" s="95"/>
      <c r="E80" s="95"/>
      <c r="F80" s="95"/>
      <c r="G80" s="95"/>
      <c r="H80" s="95"/>
      <c r="I80" s="12"/>
      <c r="J80" s="95"/>
      <c r="K80" s="12"/>
      <c r="L80" s="12"/>
      <c r="M80" s="12"/>
      <c r="N80" s="12"/>
      <c r="O80" s="95"/>
      <c r="P80" s="12"/>
      <c r="Q80" s="12"/>
      <c r="R80" s="95"/>
      <c r="S80" s="95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</row>
    <row r="81">
      <c r="A81" s="15"/>
      <c r="B81" s="95"/>
      <c r="C81" s="95"/>
      <c r="D81" s="95"/>
      <c r="E81" s="95"/>
      <c r="F81" s="95"/>
      <c r="G81" s="95"/>
      <c r="H81" s="95"/>
      <c r="I81" s="95"/>
      <c r="J81" s="95"/>
      <c r="K81" s="12"/>
      <c r="L81" s="12"/>
      <c r="M81" s="12"/>
      <c r="N81" s="12"/>
      <c r="O81" s="95"/>
      <c r="P81" s="12"/>
      <c r="Q81" s="12"/>
      <c r="R81" s="95"/>
      <c r="S81" s="95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</row>
    <row r="82">
      <c r="A82" s="15"/>
      <c r="B82" s="95"/>
      <c r="C82" s="95"/>
      <c r="D82" s="95"/>
      <c r="E82" s="95"/>
      <c r="F82" s="95"/>
      <c r="G82" s="95"/>
      <c r="H82" s="95"/>
      <c r="I82" s="95"/>
      <c r="J82" s="95"/>
      <c r="K82" s="12"/>
      <c r="L82" s="95"/>
      <c r="M82" s="12"/>
      <c r="N82" s="12"/>
      <c r="O82" s="95"/>
      <c r="P82" s="12"/>
      <c r="Q82" s="12"/>
      <c r="R82" s="95"/>
      <c r="S82" s="95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</row>
    <row r="83">
      <c r="A83" s="15"/>
      <c r="B83" s="95"/>
      <c r="C83" s="95"/>
      <c r="D83" s="95"/>
      <c r="E83" s="95"/>
      <c r="F83" s="95"/>
      <c r="G83" s="95"/>
      <c r="H83" s="95"/>
      <c r="I83" s="95"/>
      <c r="J83" s="95"/>
      <c r="K83" s="12"/>
      <c r="L83" s="95"/>
      <c r="M83" s="12"/>
      <c r="N83" s="12"/>
      <c r="O83" s="95"/>
      <c r="P83" s="12"/>
      <c r="Q83" s="12"/>
      <c r="R83" s="95"/>
      <c r="S83" s="95"/>
      <c r="T83" s="95"/>
      <c r="U83" s="95"/>
      <c r="V83" s="12"/>
      <c r="W83" s="12"/>
      <c r="X83" s="12"/>
      <c r="Y83" s="12"/>
      <c r="Z83" s="12"/>
      <c r="AA83" s="12"/>
      <c r="AB83" s="12"/>
      <c r="AC83" s="12"/>
      <c r="AD83" s="12"/>
    </row>
    <row r="84">
      <c r="A84" s="15"/>
      <c r="B84" s="95"/>
      <c r="C84" s="95"/>
      <c r="D84" s="95"/>
      <c r="E84" s="95"/>
      <c r="F84" s="95"/>
      <c r="G84" s="95"/>
      <c r="H84" s="95"/>
      <c r="I84" s="95"/>
      <c r="J84" s="95"/>
      <c r="K84" s="12"/>
      <c r="L84" s="95"/>
      <c r="M84" s="12"/>
      <c r="N84" s="12"/>
      <c r="O84" s="95"/>
      <c r="P84" s="12"/>
      <c r="Q84" s="12"/>
      <c r="R84" s="95"/>
      <c r="S84" s="95"/>
      <c r="T84" s="95"/>
      <c r="U84" s="95"/>
      <c r="V84" s="12"/>
      <c r="W84" s="12"/>
      <c r="X84" s="12"/>
      <c r="Y84" s="12"/>
      <c r="Z84" s="12"/>
      <c r="AA84" s="12"/>
      <c r="AB84" s="12"/>
      <c r="AC84" s="12"/>
      <c r="AD84" s="12"/>
    </row>
    <row r="85">
      <c r="A85" s="1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12"/>
      <c r="N85" s="12"/>
      <c r="O85" s="95"/>
      <c r="P85" s="12"/>
      <c r="Q85" s="12"/>
      <c r="R85" s="95"/>
      <c r="S85" s="95"/>
      <c r="T85" s="95"/>
      <c r="U85" s="95"/>
      <c r="V85" s="12"/>
      <c r="W85" s="12"/>
      <c r="X85" s="12"/>
      <c r="Y85" s="12"/>
      <c r="Z85" s="12"/>
      <c r="AA85" s="12"/>
      <c r="AB85" s="12"/>
      <c r="AC85" s="12"/>
      <c r="AD85" s="12"/>
    </row>
    <row r="86">
      <c r="A86" s="1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12"/>
      <c r="N86" s="12"/>
      <c r="O86" s="95"/>
      <c r="P86" s="12"/>
      <c r="Q86" s="12"/>
      <c r="R86" s="95"/>
      <c r="S86" s="95"/>
      <c r="T86" s="95"/>
      <c r="U86" s="95"/>
      <c r="V86" s="12"/>
      <c r="W86" s="12"/>
      <c r="X86" s="12"/>
      <c r="Y86" s="12"/>
      <c r="Z86" s="12"/>
      <c r="AA86" s="12"/>
      <c r="AB86" s="12"/>
      <c r="AC86" s="12"/>
      <c r="AD86" s="12"/>
    </row>
    <row r="87">
      <c r="A87" s="15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12"/>
      <c r="N87" s="12"/>
      <c r="O87" s="95"/>
      <c r="P87" s="12"/>
      <c r="Q87" s="12"/>
      <c r="R87" s="95"/>
      <c r="S87" s="95"/>
      <c r="T87" s="95"/>
      <c r="U87" s="95"/>
      <c r="V87" s="12"/>
      <c r="W87" s="12"/>
      <c r="X87" s="12"/>
      <c r="Y87" s="12"/>
      <c r="Z87" s="12"/>
      <c r="AA87" s="12"/>
      <c r="AB87" s="12"/>
      <c r="AC87" s="12"/>
      <c r="AD87" s="12"/>
    </row>
    <row r="88">
      <c r="A88" s="15"/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12"/>
      <c r="N88" s="12"/>
      <c r="O88" s="95"/>
      <c r="P88" s="12"/>
      <c r="Q88" s="12"/>
      <c r="R88" s="95"/>
      <c r="S88" s="95"/>
      <c r="T88" s="95"/>
      <c r="U88" s="95"/>
      <c r="V88" s="12"/>
      <c r="W88" s="12"/>
      <c r="X88" s="12"/>
      <c r="Y88" s="12"/>
      <c r="Z88" s="12"/>
      <c r="AA88" s="12"/>
      <c r="AB88" s="12"/>
      <c r="AC88" s="12"/>
      <c r="AD88" s="12"/>
    </row>
    <row r="89">
      <c r="A89" s="15"/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12"/>
      <c r="W89" s="12"/>
      <c r="X89" s="12"/>
      <c r="Y89" s="12"/>
      <c r="Z89" s="12"/>
      <c r="AA89" s="12"/>
      <c r="AB89" s="12"/>
      <c r="AC89" s="12"/>
      <c r="AD89" s="12"/>
    </row>
    <row r="90">
      <c r="A90" s="15"/>
      <c r="B90" s="95"/>
      <c r="C90" s="12"/>
      <c r="D90" s="12"/>
      <c r="E90" s="12"/>
      <c r="F90" s="12"/>
      <c r="G90" s="12"/>
      <c r="H90" s="95"/>
      <c r="I90" s="12"/>
      <c r="J90" s="95"/>
      <c r="K90" s="95"/>
      <c r="L90" s="12"/>
      <c r="M90" s="12"/>
      <c r="N90" s="12"/>
      <c r="O90" s="95"/>
      <c r="P90" s="12"/>
      <c r="Q90" s="12"/>
      <c r="R90" s="12"/>
      <c r="S90" s="12"/>
      <c r="T90" s="95"/>
      <c r="U90" s="95"/>
      <c r="V90" s="12"/>
      <c r="W90" s="12"/>
      <c r="X90" s="12"/>
      <c r="Y90" s="12"/>
      <c r="Z90" s="12"/>
      <c r="AA90" s="12"/>
      <c r="AB90" s="12"/>
      <c r="AC90" s="12"/>
      <c r="AD90" s="12"/>
    </row>
    <row r="91">
      <c r="A91" s="12"/>
      <c r="B91" s="95"/>
      <c r="C91" s="12"/>
      <c r="D91" s="12"/>
      <c r="E91" s="12"/>
      <c r="F91" s="12"/>
      <c r="G91" s="12"/>
      <c r="H91" s="12"/>
      <c r="I91" s="12"/>
      <c r="J91" s="95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</row>
    <row r="92">
      <c r="A92" s="12"/>
      <c r="B92" s="95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>
      <c r="A93" s="12"/>
      <c r="B93" s="95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>
      <c r="A94" s="12"/>
      <c r="B94" s="95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>
      <c r="A95" s="12"/>
      <c r="B95" s="95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</row>
    <row r="96">
      <c r="A96" s="12"/>
      <c r="B96" s="95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</row>
    <row r="97">
      <c r="A97" s="12"/>
      <c r="B97" s="95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</row>
    <row r="98">
      <c r="A98" s="12"/>
      <c r="B98" s="95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</row>
    <row r="99">
      <c r="A99" s="12"/>
      <c r="B99" s="95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</row>
    <row r="100">
      <c r="A100" s="12"/>
      <c r="B100" s="95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</row>
    <row r="101">
      <c r="A101" s="12"/>
      <c r="B101" s="95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</row>
    <row r="102">
      <c r="A102" s="12"/>
      <c r="B102" s="95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</row>
    <row r="103">
      <c r="A103" s="12"/>
      <c r="B103" s="95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>
      <c r="A104" s="12"/>
      <c r="B104" s="95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>
      <c r="A105" s="12"/>
      <c r="B105" s="95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>
      <c r="A106" s="12"/>
      <c r="B106" s="95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</row>
    <row r="100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</row>
  </sheetData>
  <conditionalFormatting sqref="AA20:AA29 AC21:AC29 AB23:AB28 P27:P29">
    <cfRule type="colorScale" priority="1">
      <colorScale>
        <cfvo type="min"/>
        <cfvo type="formula" val="0"/>
        <cfvo type="max"/>
        <color rgb="FFE67C73"/>
        <color rgb="FFFFFFFF"/>
        <color rgb="FF57BB8A"/>
      </colorScale>
    </cfRule>
  </conditionalFormatting>
  <conditionalFormatting sqref="D3:D29 W3:W7 X3:X30 C4:C29 R5:S9 E6:E29 O7:O32 V7:V20 F15:F29 J15:J30 L15:L29 H18:H31 R18:S29 Y19:Y29 G20:G29 N20:N29 B21:B29 I21:I29 Z21:Z29 T23:U30 K25:K30 M26:M29 D33:D59 C34:C59 E36:E59 O37:O60 F45:F59 J45:J60 H48:H60 R48:S59 G50:G59 B51:B59 I51:I59 L52:L59 T53:U60 K55:K60">
    <cfRule type="colorScale" priority="2">
      <colorScale>
        <cfvo type="min"/>
        <cfvo type="max"/>
        <color rgb="FFFFFFFF"/>
        <color rgb="FF57BB8A"/>
      </colorScale>
    </cfRule>
  </conditionalFormatting>
  <conditionalFormatting sqref="D63:D89 C64:C89 E66:E89 O67:O90 F75:F89 J75:J91 R77:S89 H78:H90 G80:G89 B81:B106 I81:I89 L82:L89 T83:U90 K85:K90 M89:N89 P89:Q89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 ht="72.0" customHeight="1">
      <c r="A1" s="2"/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4" t="s">
        <v>7</v>
      </c>
      <c r="I1" s="2" t="s">
        <v>8</v>
      </c>
      <c r="J1" s="4" t="s">
        <v>9</v>
      </c>
      <c r="K1" s="5" t="s">
        <v>10</v>
      </c>
      <c r="L1" s="3" t="s">
        <v>11</v>
      </c>
      <c r="M1" s="11" t="s">
        <v>12</v>
      </c>
      <c r="N1" s="87" t="s">
        <v>13</v>
      </c>
      <c r="O1" s="7" t="s">
        <v>14</v>
      </c>
      <c r="P1" s="11" t="s">
        <v>15</v>
      </c>
      <c r="Q1" s="8" t="s">
        <v>16</v>
      </c>
      <c r="R1" s="8" t="s">
        <v>17</v>
      </c>
      <c r="S1" s="7" t="s">
        <v>18</v>
      </c>
      <c r="T1" s="9" t="s">
        <v>19</v>
      </c>
      <c r="U1" s="10" t="s">
        <v>20</v>
      </c>
      <c r="V1" s="7" t="s">
        <v>21</v>
      </c>
      <c r="W1" s="18" t="s">
        <v>22</v>
      </c>
      <c r="X1" s="18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43"/>
    </row>
    <row r="2">
      <c r="A2" s="42" t="s">
        <v>324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92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</row>
    <row r="3">
      <c r="A3" s="42">
        <v>1997.0</v>
      </c>
      <c r="B3" s="43"/>
      <c r="C3" s="43"/>
      <c r="D3" s="92">
        <v>-28434.0</v>
      </c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92">
        <v>-18720.0</v>
      </c>
      <c r="X3" s="92">
        <v>17273.0</v>
      </c>
      <c r="Y3" s="43"/>
      <c r="Z3" s="43"/>
      <c r="AA3" s="43"/>
      <c r="AB3" s="43"/>
      <c r="AC3" s="43"/>
      <c r="AD3" s="43"/>
    </row>
    <row r="4">
      <c r="A4" s="42">
        <v>1998.0</v>
      </c>
      <c r="B4" s="43"/>
      <c r="C4" s="92">
        <v>-52952.0</v>
      </c>
      <c r="D4" s="92">
        <v>-28728.0</v>
      </c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92"/>
      <c r="S4" s="92"/>
      <c r="T4" s="43"/>
      <c r="U4" s="43"/>
      <c r="V4" s="43"/>
      <c r="W4" s="92">
        <v>-21280.0</v>
      </c>
      <c r="X4" s="92">
        <v>20372.0</v>
      </c>
      <c r="Y4" s="43"/>
      <c r="Z4" s="43"/>
      <c r="AA4" s="43"/>
      <c r="AB4" s="43"/>
      <c r="AC4" s="43"/>
      <c r="AD4" s="43"/>
    </row>
    <row r="5">
      <c r="A5" s="42">
        <v>1999.0</v>
      </c>
      <c r="B5" s="43"/>
      <c r="C5" s="92">
        <v>-58041.0</v>
      </c>
      <c r="D5" s="92">
        <v>-18824.0</v>
      </c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96"/>
      <c r="S5" s="96">
        <v>-6661.0</v>
      </c>
      <c r="T5" s="43"/>
      <c r="U5" s="43"/>
      <c r="V5" s="43"/>
      <c r="W5" s="92">
        <v>-20631.0</v>
      </c>
      <c r="X5" s="92">
        <v>20876.0</v>
      </c>
      <c r="Y5" s="43"/>
      <c r="Z5" s="43"/>
      <c r="AA5" s="43"/>
      <c r="AB5" s="43"/>
      <c r="AC5" s="43"/>
      <c r="AD5" s="43"/>
    </row>
    <row r="6">
      <c r="A6" s="42">
        <v>2000.0</v>
      </c>
      <c r="B6" s="43"/>
      <c r="C6" s="92">
        <v>-31525.0</v>
      </c>
      <c r="D6" s="92">
        <v>-109351.0</v>
      </c>
      <c r="E6" s="92">
        <v>-3729.0</v>
      </c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96"/>
      <c r="S6" s="96">
        <v>-56023.0</v>
      </c>
      <c r="T6" s="43"/>
      <c r="U6" s="43"/>
      <c r="V6" s="43"/>
      <c r="W6" s="96">
        <v>-108988.0</v>
      </c>
      <c r="X6" s="92">
        <v>34003.0</v>
      </c>
      <c r="Y6" s="43"/>
      <c r="Z6" s="43"/>
      <c r="AA6" s="43"/>
      <c r="AB6" s="43"/>
      <c r="AC6" s="43"/>
      <c r="AD6" s="43"/>
    </row>
    <row r="7">
      <c r="A7" s="42">
        <v>2001.0</v>
      </c>
      <c r="B7" s="43"/>
      <c r="C7" s="92">
        <v>6750.0</v>
      </c>
      <c r="D7" s="92">
        <v>-12977.0</v>
      </c>
      <c r="E7" s="92">
        <v>-1977.0</v>
      </c>
      <c r="F7" s="43"/>
      <c r="G7" s="43"/>
      <c r="H7" s="43"/>
      <c r="I7" s="43"/>
      <c r="J7" s="43"/>
      <c r="K7" s="43"/>
      <c r="L7" s="43"/>
      <c r="M7" s="43"/>
      <c r="N7" s="43"/>
      <c r="O7" s="92">
        <v>-897.0</v>
      </c>
      <c r="P7" s="43"/>
      <c r="Q7" s="43"/>
      <c r="R7" s="96"/>
      <c r="S7" s="96">
        <v>-49346.0</v>
      </c>
      <c r="T7" s="43"/>
      <c r="U7" s="43"/>
      <c r="V7" s="92">
        <v>-103237.0</v>
      </c>
      <c r="W7" s="96">
        <v>-91641.0</v>
      </c>
      <c r="X7" s="92">
        <v>42603.0</v>
      </c>
      <c r="Y7" s="43"/>
      <c r="Z7" s="43"/>
      <c r="AA7" s="43"/>
      <c r="AB7" s="43"/>
      <c r="AC7" s="43"/>
      <c r="AD7" s="43"/>
    </row>
    <row r="8">
      <c r="A8" s="42">
        <v>2002.0</v>
      </c>
      <c r="B8" s="43"/>
      <c r="C8" s="92">
        <v>22654.0</v>
      </c>
      <c r="D8" s="92">
        <v>257400.0</v>
      </c>
      <c r="E8" s="92">
        <v>3319.0</v>
      </c>
      <c r="F8" s="43"/>
      <c r="G8" s="43"/>
      <c r="H8" s="43"/>
      <c r="I8" s="43"/>
      <c r="J8" s="43"/>
      <c r="K8" s="43"/>
      <c r="L8" s="43"/>
      <c r="M8" s="43"/>
      <c r="N8" s="43"/>
      <c r="O8" s="92">
        <v>-414.0</v>
      </c>
      <c r="P8" s="43"/>
      <c r="Q8" s="43"/>
      <c r="R8" s="92"/>
      <c r="S8" s="92">
        <v>-11502.0</v>
      </c>
      <c r="T8" s="43"/>
      <c r="U8" s="43"/>
      <c r="V8" s="92">
        <v>-17875.0</v>
      </c>
      <c r="W8" s="43"/>
      <c r="X8" s="92">
        <v>42491.0</v>
      </c>
      <c r="Y8" s="43"/>
      <c r="Z8" s="43"/>
      <c r="AA8" s="43"/>
      <c r="AB8" s="43"/>
      <c r="AC8" s="43"/>
      <c r="AD8" s="43"/>
    </row>
    <row r="9">
      <c r="A9" s="42">
        <v>2003.0</v>
      </c>
      <c r="B9" s="43"/>
      <c r="C9" s="92">
        <v>26003.0</v>
      </c>
      <c r="D9" s="92">
        <v>366027.0</v>
      </c>
      <c r="E9" s="92">
        <v>7748.0</v>
      </c>
      <c r="F9" s="43"/>
      <c r="G9" s="43"/>
      <c r="H9" s="43"/>
      <c r="I9" s="43"/>
      <c r="J9" s="43"/>
      <c r="K9" s="43"/>
      <c r="L9" s="43"/>
      <c r="M9" s="43"/>
      <c r="N9" s="43"/>
      <c r="O9" s="92">
        <v>-427.0</v>
      </c>
      <c r="P9" s="43"/>
      <c r="Q9" s="43"/>
      <c r="R9" s="96"/>
      <c r="S9" s="96">
        <v>-89831.0</v>
      </c>
      <c r="T9" s="43"/>
      <c r="U9" s="43"/>
      <c r="V9" s="92">
        <v>-16029.0</v>
      </c>
      <c r="W9" s="43"/>
      <c r="X9" s="92">
        <v>62694.0</v>
      </c>
      <c r="Y9" s="43"/>
      <c r="Z9" s="43"/>
      <c r="AA9" s="43"/>
      <c r="AB9" s="43"/>
      <c r="AC9" s="43"/>
      <c r="AD9" s="43"/>
    </row>
    <row r="10">
      <c r="A10" s="42">
        <v>2004.0</v>
      </c>
      <c r="B10" s="43"/>
      <c r="C10" s="92">
        <v>44799.0</v>
      </c>
      <c r="D10" s="92">
        <v>409630.0</v>
      </c>
      <c r="E10" s="92">
        <v>16992.0</v>
      </c>
      <c r="F10" s="43"/>
      <c r="G10" s="43"/>
      <c r="H10" s="43"/>
      <c r="I10" s="43"/>
      <c r="J10" s="43"/>
      <c r="K10" s="43"/>
      <c r="L10" s="43"/>
      <c r="M10" s="43"/>
      <c r="N10" s="43"/>
      <c r="O10" s="92">
        <v>-688.0</v>
      </c>
      <c r="P10" s="43"/>
      <c r="Q10" s="43"/>
      <c r="R10" s="43"/>
      <c r="S10" s="43"/>
      <c r="T10" s="43"/>
      <c r="U10" s="43"/>
      <c r="V10" s="92">
        <v>-60000.0</v>
      </c>
      <c r="W10" s="43"/>
      <c r="X10" s="92">
        <v>83429.0</v>
      </c>
      <c r="Y10" s="43"/>
      <c r="Z10" s="43"/>
      <c r="AA10" s="43"/>
      <c r="AB10" s="43"/>
      <c r="AC10" s="43"/>
      <c r="AD10" s="43"/>
    </row>
    <row r="11">
      <c r="A11" s="42">
        <v>2005.0</v>
      </c>
      <c r="B11" s="43"/>
      <c r="C11" s="92">
        <v>64848.0</v>
      </c>
      <c r="D11" s="92">
        <v>573564.0</v>
      </c>
      <c r="E11" s="92">
        <v>31135.0</v>
      </c>
      <c r="F11" s="43"/>
      <c r="G11" s="43"/>
      <c r="H11" s="43"/>
      <c r="I11" s="43"/>
      <c r="J11" s="43"/>
      <c r="K11" s="43"/>
      <c r="L11" s="43"/>
      <c r="M11" s="43"/>
      <c r="N11" s="43"/>
      <c r="O11" s="92">
        <v>1298.0</v>
      </c>
      <c r="P11" s="43"/>
      <c r="Q11" s="43"/>
      <c r="R11" s="43"/>
      <c r="S11" s="43"/>
      <c r="T11" s="43"/>
      <c r="U11" s="43"/>
      <c r="V11" s="92">
        <v>-430000.0</v>
      </c>
      <c r="W11" s="43"/>
      <c r="X11" s="92">
        <v>107661.0</v>
      </c>
      <c r="Y11" s="43"/>
      <c r="Z11" s="43"/>
      <c r="AA11" s="43"/>
      <c r="AB11" s="43"/>
      <c r="AC11" s="43"/>
      <c r="AD11" s="43"/>
    </row>
    <row r="12">
      <c r="A12" s="42">
        <v>2006.0</v>
      </c>
      <c r="B12" s="43"/>
      <c r="C12" s="92">
        <v>97021.0</v>
      </c>
      <c r="D12" s="92">
        <v>557874.0</v>
      </c>
      <c r="E12" s="92">
        <v>35939.0</v>
      </c>
      <c r="F12" s="43"/>
      <c r="G12" s="43"/>
      <c r="H12" s="43"/>
      <c r="I12" s="43"/>
      <c r="J12" s="43"/>
      <c r="K12" s="43"/>
      <c r="L12" s="43"/>
      <c r="M12" s="43"/>
      <c r="N12" s="43"/>
      <c r="O12" s="92">
        <v>2864.0</v>
      </c>
      <c r="P12" s="43"/>
      <c r="Q12" s="43"/>
      <c r="R12" s="43"/>
      <c r="S12" s="43"/>
      <c r="T12" s="43"/>
      <c r="U12" s="43"/>
      <c r="V12" s="92">
        <v>-144000.0</v>
      </c>
      <c r="W12" s="43"/>
      <c r="X12" s="92">
        <v>109687.0</v>
      </c>
      <c r="Y12" s="43"/>
      <c r="Z12" s="43"/>
      <c r="AA12" s="43"/>
      <c r="AB12" s="43"/>
      <c r="AC12" s="43"/>
      <c r="AD12" s="43"/>
    </row>
    <row r="13">
      <c r="A13" s="42">
        <v>2007.0</v>
      </c>
      <c r="B13" s="43"/>
      <c r="C13" s="92">
        <v>230785.0</v>
      </c>
      <c r="D13" s="92">
        <v>666164.0</v>
      </c>
      <c r="E13" s="92">
        <v>63782.0</v>
      </c>
      <c r="F13" s="43"/>
      <c r="G13" s="43"/>
      <c r="H13" s="43"/>
      <c r="I13" s="43"/>
      <c r="J13" s="43"/>
      <c r="K13" s="43"/>
      <c r="L13" s="43"/>
      <c r="M13" s="43"/>
      <c r="N13" s="43"/>
      <c r="O13" s="92">
        <v>3586.0</v>
      </c>
      <c r="P13" s="43"/>
      <c r="Q13" s="43"/>
      <c r="R13" s="43"/>
      <c r="S13" s="43"/>
      <c r="T13" s="43"/>
      <c r="U13" s="43"/>
      <c r="V13" s="92">
        <v>-41000.0</v>
      </c>
      <c r="W13" s="43"/>
      <c r="X13" s="92">
        <v>107682.0</v>
      </c>
      <c r="Y13" s="43"/>
      <c r="Z13" s="43"/>
      <c r="AA13" s="43"/>
      <c r="AB13" s="43"/>
      <c r="AC13" s="43"/>
      <c r="AD13" s="43"/>
    </row>
    <row r="14">
      <c r="A14" s="42">
        <v>2008.0</v>
      </c>
      <c r="B14" s="43"/>
      <c r="C14" s="92">
        <v>332542.0</v>
      </c>
      <c r="D14" s="92">
        <v>713283.0</v>
      </c>
      <c r="E14" s="92">
        <v>81110.0</v>
      </c>
      <c r="F14" s="43"/>
      <c r="G14" s="43"/>
      <c r="H14" s="43"/>
      <c r="I14" s="43"/>
      <c r="J14" s="43"/>
      <c r="K14" s="43"/>
      <c r="L14" s="43"/>
      <c r="M14" s="43"/>
      <c r="N14" s="43"/>
      <c r="O14" s="92">
        <v>7968.0</v>
      </c>
      <c r="P14" s="43"/>
      <c r="Q14" s="43"/>
      <c r="R14" s="43"/>
      <c r="S14" s="43"/>
      <c r="T14" s="43"/>
      <c r="U14" s="43"/>
      <c r="V14" s="92">
        <v>-301000.0</v>
      </c>
      <c r="W14" s="43"/>
      <c r="X14" s="92">
        <v>161068.0</v>
      </c>
      <c r="Y14" s="43"/>
      <c r="Z14" s="43"/>
      <c r="AA14" s="43"/>
      <c r="AB14" s="43"/>
      <c r="AC14" s="43"/>
      <c r="AD14" s="43"/>
    </row>
    <row r="15">
      <c r="A15" s="42">
        <v>2009.0</v>
      </c>
      <c r="B15" s="43"/>
      <c r="C15" s="92">
        <v>510028.0</v>
      </c>
      <c r="D15" s="92">
        <v>617237.0</v>
      </c>
      <c r="E15" s="92">
        <v>117381.0</v>
      </c>
      <c r="F15" s="92">
        <v>191314.0</v>
      </c>
      <c r="G15" s="43"/>
      <c r="H15" s="43"/>
      <c r="I15" s="43"/>
      <c r="J15" s="92">
        <v>-8821.0</v>
      </c>
      <c r="K15" s="43"/>
      <c r="L15" s="96">
        <v>111429.0</v>
      </c>
      <c r="M15" s="43"/>
      <c r="N15" s="43"/>
      <c r="O15" s="92">
        <v>7850.0</v>
      </c>
      <c r="P15" s="43"/>
      <c r="Q15" s="43"/>
      <c r="R15" s="43"/>
      <c r="S15" s="43"/>
      <c r="T15" s="43"/>
      <c r="U15" s="43"/>
      <c r="V15" s="92">
        <v>-328000.0</v>
      </c>
      <c r="W15" s="43"/>
      <c r="X15" s="92">
        <v>223288.0</v>
      </c>
      <c r="Y15" s="43"/>
      <c r="Z15" s="43"/>
      <c r="AA15" s="43"/>
      <c r="AB15" s="43"/>
      <c r="AC15" s="43"/>
      <c r="AD15" s="43"/>
    </row>
    <row r="16">
      <c r="A16" s="42">
        <v>2010.0</v>
      </c>
      <c r="B16" s="43"/>
      <c r="C16" s="92">
        <v>837261.0</v>
      </c>
      <c r="D16" s="92">
        <v>651524.0</v>
      </c>
      <c r="E16" s="92">
        <v>185101.0</v>
      </c>
      <c r="F16" s="92">
        <v>253780.0</v>
      </c>
      <c r="G16" s="43"/>
      <c r="H16" s="43"/>
      <c r="I16" s="43"/>
      <c r="J16" s="92">
        <v>-4414.0</v>
      </c>
      <c r="K16" s="43"/>
      <c r="L16" s="96">
        <v>140495.0</v>
      </c>
      <c r="M16" s="43"/>
      <c r="N16" s="43"/>
      <c r="O16" s="92">
        <v>11151.0</v>
      </c>
      <c r="P16" s="43"/>
      <c r="Q16" s="43"/>
      <c r="R16" s="43"/>
      <c r="S16" s="43"/>
      <c r="T16" s="43"/>
      <c r="U16" s="43"/>
      <c r="V16" s="96">
        <v>-55856.0</v>
      </c>
      <c r="W16" s="43"/>
      <c r="X16" s="92">
        <v>92457.0</v>
      </c>
      <c r="Y16" s="43"/>
      <c r="Z16" s="43"/>
      <c r="AA16" s="43"/>
      <c r="AB16" s="43"/>
      <c r="AC16" s="43"/>
      <c r="AD16" s="43"/>
    </row>
    <row r="17">
      <c r="A17" s="42">
        <v>2011.0</v>
      </c>
      <c r="B17" s="43"/>
      <c r="C17" s="92">
        <v>1452746.0</v>
      </c>
      <c r="D17" s="92">
        <v>655398.0</v>
      </c>
      <c r="E17" s="92">
        <v>202113.0</v>
      </c>
      <c r="F17" s="92">
        <v>305574.0</v>
      </c>
      <c r="G17" s="43"/>
      <c r="H17" s="43"/>
      <c r="I17" s="43"/>
      <c r="J17" s="92">
        <v>6057.0</v>
      </c>
      <c r="K17" s="43"/>
      <c r="L17" s="96">
        <v>172018.0</v>
      </c>
      <c r="M17" s="43"/>
      <c r="N17" s="43"/>
      <c r="O17" s="92">
        <v>14663.0</v>
      </c>
      <c r="P17" s="43"/>
      <c r="Q17" s="43"/>
      <c r="R17" s="43"/>
      <c r="S17" s="43"/>
      <c r="T17" s="43"/>
      <c r="U17" s="43"/>
      <c r="V17" s="96">
        <v>-35226.0</v>
      </c>
      <c r="W17" s="43"/>
      <c r="X17" s="92">
        <v>216739.0</v>
      </c>
      <c r="Y17" s="43"/>
      <c r="Z17" s="43"/>
      <c r="AA17" s="43"/>
      <c r="AB17" s="43"/>
      <c r="AC17" s="43"/>
      <c r="AD17" s="43"/>
    </row>
    <row r="18">
      <c r="A18" s="42">
        <v>2012.0</v>
      </c>
      <c r="B18" s="43"/>
      <c r="C18" s="92">
        <v>1894934.0</v>
      </c>
      <c r="D18" s="92">
        <v>744701.0</v>
      </c>
      <c r="E18" s="92">
        <v>140533.0</v>
      </c>
      <c r="F18" s="92">
        <v>322000.0</v>
      </c>
      <c r="G18" s="43"/>
      <c r="H18" s="92">
        <v>120127.0</v>
      </c>
      <c r="I18" s="43"/>
      <c r="J18" s="92">
        <v>6866.0</v>
      </c>
      <c r="K18" s="43"/>
      <c r="L18" s="96">
        <v>212283.0</v>
      </c>
      <c r="M18" s="43"/>
      <c r="N18" s="43"/>
      <c r="O18" s="92">
        <v>18571.0</v>
      </c>
      <c r="P18" s="43"/>
      <c r="Q18" s="43"/>
      <c r="R18" s="92"/>
      <c r="S18" s="92">
        <v>14930.0</v>
      </c>
      <c r="T18" s="43"/>
      <c r="U18" s="43"/>
      <c r="V18" s="96">
        <v>-298565.0</v>
      </c>
      <c r="W18" s="43"/>
      <c r="X18" s="92">
        <v>343698.0</v>
      </c>
      <c r="Y18" s="43"/>
      <c r="Z18" s="43"/>
      <c r="AA18" s="43"/>
      <c r="AB18" s="43"/>
      <c r="AC18" s="43"/>
      <c r="AD18" s="43"/>
    </row>
    <row r="19">
      <c r="A19" s="42">
        <v>2013.0</v>
      </c>
      <c r="B19" s="43"/>
      <c r="C19" s="92">
        <v>2530389.0</v>
      </c>
      <c r="D19" s="92">
        <v>793926.0</v>
      </c>
      <c r="E19" s="92">
        <v>183961.0</v>
      </c>
      <c r="F19" s="92">
        <v>330000.0</v>
      </c>
      <c r="G19" s="43"/>
      <c r="H19" s="92">
        <v>128565.0</v>
      </c>
      <c r="I19" s="43"/>
      <c r="J19" s="92">
        <v>-14239.0</v>
      </c>
      <c r="K19" s="43"/>
      <c r="L19" s="96">
        <v>272010.0</v>
      </c>
      <c r="M19" s="43"/>
      <c r="N19" s="43"/>
      <c r="O19" s="92">
        <v>11132.0</v>
      </c>
      <c r="P19" s="43"/>
      <c r="Q19" s="43"/>
      <c r="R19" s="92"/>
      <c r="S19" s="92">
        <v>28964.0</v>
      </c>
      <c r="T19" s="43"/>
      <c r="U19" s="43"/>
      <c r="V19" s="96">
        <v>80.0</v>
      </c>
      <c r="W19" s="43"/>
      <c r="X19" s="92">
        <v>337657.0</v>
      </c>
      <c r="Y19" s="43"/>
      <c r="Z19" s="43"/>
      <c r="AA19" s="43"/>
      <c r="AB19" s="43"/>
      <c r="AC19" s="43"/>
      <c r="AD19" s="43"/>
    </row>
    <row r="20">
      <c r="A20" s="42">
        <v>2014.0</v>
      </c>
      <c r="B20" s="43"/>
      <c r="C20" s="92">
        <v>3281132.0</v>
      </c>
      <c r="D20" s="92">
        <v>930365.0</v>
      </c>
      <c r="E20" s="92">
        <v>5119.0</v>
      </c>
      <c r="F20" s="92">
        <v>409000.0</v>
      </c>
      <c r="G20" s="92">
        <v>-327.0</v>
      </c>
      <c r="H20" s="92">
        <v>114840.0</v>
      </c>
      <c r="I20" s="43"/>
      <c r="J20" s="92">
        <v>-9710.0</v>
      </c>
      <c r="K20" s="43"/>
      <c r="L20" s="96">
        <v>312938.0</v>
      </c>
      <c r="M20" s="43"/>
      <c r="N20" s="92">
        <v>-5936.0</v>
      </c>
      <c r="O20" s="92">
        <v>22516.0</v>
      </c>
      <c r="P20" s="43"/>
      <c r="Q20" s="43"/>
      <c r="R20" s="92"/>
      <c r="S20" s="92">
        <v>28961.0</v>
      </c>
      <c r="T20" s="43"/>
      <c r="U20" s="43"/>
      <c r="V20" s="96">
        <v>44561.0</v>
      </c>
      <c r="W20" s="43"/>
      <c r="X20" s="92">
        <v>348963.0</v>
      </c>
      <c r="Y20" s="92">
        <v>19670.7624</v>
      </c>
      <c r="Z20" s="43"/>
      <c r="AA20" s="92">
        <v>363.0</v>
      </c>
      <c r="AB20" s="43"/>
      <c r="AC20" s="43"/>
      <c r="AD20" s="43"/>
    </row>
    <row r="21">
      <c r="A21" s="42">
        <v>2015.0</v>
      </c>
      <c r="B21" s="97">
        <v>-123697.0</v>
      </c>
      <c r="C21" s="92">
        <v>3531401.0</v>
      </c>
      <c r="D21" s="92">
        <v>914195.0</v>
      </c>
      <c r="E21" s="92">
        <v>107411.0</v>
      </c>
      <c r="F21" s="92">
        <v>325000.0</v>
      </c>
      <c r="G21" s="92">
        <v>-16365.0</v>
      </c>
      <c r="H21" s="92" t="s">
        <v>330</v>
      </c>
      <c r="I21" s="92">
        <v>-39928.0</v>
      </c>
      <c r="J21" s="92">
        <v>-6484.0</v>
      </c>
      <c r="K21" s="43"/>
      <c r="L21" s="96">
        <v>321278.0</v>
      </c>
      <c r="M21" s="43"/>
      <c r="N21" s="92">
        <v>-7282.0</v>
      </c>
      <c r="O21" s="92">
        <v>22623.0</v>
      </c>
      <c r="P21" s="43"/>
      <c r="Q21" s="43"/>
      <c r="R21" s="92"/>
      <c r="S21" s="92">
        <v>-11897.0</v>
      </c>
      <c r="T21" s="43"/>
      <c r="U21" s="43"/>
      <c r="V21" s="43"/>
      <c r="W21" s="43"/>
      <c r="X21" s="92">
        <v>423461.0</v>
      </c>
      <c r="Y21" s="92">
        <v>16293.4905</v>
      </c>
      <c r="Z21" s="92">
        <v>8580.0</v>
      </c>
      <c r="AA21" s="92">
        <v>2023.0</v>
      </c>
      <c r="AB21" s="43"/>
      <c r="AC21" s="92">
        <v>-15206.205</v>
      </c>
      <c r="AD21" s="43"/>
    </row>
    <row r="22">
      <c r="A22" s="42">
        <v>2016.0</v>
      </c>
      <c r="B22" s="97">
        <v>-132993.0</v>
      </c>
      <c r="C22" s="92">
        <v>4156135.0</v>
      </c>
      <c r="D22" s="92">
        <v>1358701.0</v>
      </c>
      <c r="E22" s="92">
        <v>-122254.0</v>
      </c>
      <c r="F22" s="92">
        <v>268000.0</v>
      </c>
      <c r="G22" s="92">
        <v>-22620.0</v>
      </c>
      <c r="H22" s="92">
        <v>98202.0</v>
      </c>
      <c r="I22" s="92">
        <v>48011.0</v>
      </c>
      <c r="J22" s="92">
        <v>-55524.0</v>
      </c>
      <c r="K22" s="43"/>
      <c r="L22" s="96">
        <v>225701.0</v>
      </c>
      <c r="M22" s="98"/>
      <c r="N22" s="92">
        <v>-5531.0</v>
      </c>
      <c r="O22" s="92">
        <v>27290.0</v>
      </c>
      <c r="P22" s="43"/>
      <c r="Q22" s="43"/>
      <c r="R22" s="92"/>
      <c r="S22" s="92">
        <v>24802.0</v>
      </c>
      <c r="T22" s="43"/>
      <c r="U22" s="43"/>
      <c r="V22" s="43"/>
      <c r="W22" s="43"/>
      <c r="X22" s="92">
        <v>315409.0</v>
      </c>
      <c r="Y22" s="92">
        <v>20876.494</v>
      </c>
      <c r="Z22" s="92">
        <v>12715.0</v>
      </c>
      <c r="AA22" s="92">
        <v>6254.0</v>
      </c>
      <c r="AB22" s="43"/>
      <c r="AC22" s="92">
        <v>-47364.313</v>
      </c>
      <c r="AD22" s="43"/>
    </row>
    <row r="23">
      <c r="A23" s="42">
        <v>2017.0</v>
      </c>
      <c r="B23" s="97">
        <v>-2020.0</v>
      </c>
      <c r="C23" s="92">
        <v>4928000.0</v>
      </c>
      <c r="D23" s="92">
        <v>1556832.0</v>
      </c>
      <c r="E23" s="92">
        <v>585014.0</v>
      </c>
      <c r="F23" s="92">
        <v>236000.0</v>
      </c>
      <c r="G23" s="92">
        <v>-11209.0</v>
      </c>
      <c r="H23" s="92">
        <v>106966.0</v>
      </c>
      <c r="I23" s="92">
        <v>85065.0</v>
      </c>
      <c r="J23" s="92">
        <v>-105639.0</v>
      </c>
      <c r="K23" s="43"/>
      <c r="L23" s="96">
        <v>138715.0</v>
      </c>
      <c r="M23" s="98"/>
      <c r="N23" s="92">
        <v>-5181.0</v>
      </c>
      <c r="O23" s="92">
        <v>32912.0</v>
      </c>
      <c r="P23" s="43"/>
      <c r="Q23" s="43"/>
      <c r="R23" s="92"/>
      <c r="S23" s="92">
        <v>10189.0</v>
      </c>
      <c r="T23" s="92">
        <v>3535.0</v>
      </c>
      <c r="U23" s="92">
        <v>-24499.0</v>
      </c>
      <c r="V23" s="43"/>
      <c r="W23" s="43"/>
      <c r="X23" s="92">
        <v>316255.0</v>
      </c>
      <c r="Y23" s="92">
        <v>32520.82935</v>
      </c>
      <c r="Z23" s="92">
        <v>16365.0</v>
      </c>
      <c r="AA23" s="92">
        <v>11178.0</v>
      </c>
      <c r="AB23" s="92">
        <v>-5605.0</v>
      </c>
      <c r="AC23" s="92">
        <v>-179941.0</v>
      </c>
      <c r="AD23" s="43"/>
    </row>
    <row r="24">
      <c r="A24" s="42">
        <v>2018.0</v>
      </c>
      <c r="B24" s="97">
        <v>101145.0</v>
      </c>
      <c r="C24" s="92">
        <v>5767000.0</v>
      </c>
      <c r="D24" s="92">
        <v>1742000.0</v>
      </c>
      <c r="E24" s="92">
        <v>523420.0</v>
      </c>
      <c r="F24" s="92">
        <v>299000.0</v>
      </c>
      <c r="G24" s="92">
        <v>-6998.0</v>
      </c>
      <c r="H24" s="92">
        <v>124771.0</v>
      </c>
      <c r="I24" s="92">
        <v>60878.0</v>
      </c>
      <c r="J24" s="92">
        <v>-186657.0</v>
      </c>
      <c r="K24" s="43"/>
      <c r="L24" s="96">
        <v>-15350.0</v>
      </c>
      <c r="M24" s="98"/>
      <c r="N24" s="92">
        <v>-451.0</v>
      </c>
      <c r="O24" s="92">
        <v>65233.0</v>
      </c>
      <c r="P24" s="43"/>
      <c r="Q24" s="43"/>
      <c r="R24" s="92"/>
      <c r="S24" s="92">
        <v>31660.0</v>
      </c>
      <c r="T24" s="92">
        <v>2394.0</v>
      </c>
      <c r="U24" s="92">
        <v>-45137.0</v>
      </c>
      <c r="V24" s="43"/>
      <c r="W24" s="43"/>
      <c r="X24" s="92">
        <v>312757.0</v>
      </c>
      <c r="Y24" s="92">
        <v>54584.30225</v>
      </c>
      <c r="Z24" s="92">
        <v>12729.0</v>
      </c>
      <c r="AA24" s="92">
        <v>9411.0</v>
      </c>
      <c r="AB24" s="92">
        <v>-1463.0</v>
      </c>
      <c r="AC24" s="92">
        <v>-192346.0</v>
      </c>
      <c r="AD24" s="43"/>
    </row>
    <row r="25">
      <c r="A25" s="42">
        <v>2019.0</v>
      </c>
      <c r="B25" s="97">
        <v>-383481.0</v>
      </c>
      <c r="C25" s="92">
        <v>5814000.0</v>
      </c>
      <c r="D25" s="92">
        <v>1871000.0</v>
      </c>
      <c r="E25" s="92">
        <v>878202.0</v>
      </c>
      <c r="F25" s="92">
        <v>313000.0</v>
      </c>
      <c r="G25" s="92">
        <v>56321.0</v>
      </c>
      <c r="H25" s="92">
        <v>134236.0</v>
      </c>
      <c r="I25" s="92">
        <v>13876.0</v>
      </c>
      <c r="J25" s="92">
        <v>-126176.0</v>
      </c>
      <c r="K25" s="92">
        <v>-7675.0</v>
      </c>
      <c r="L25" s="96">
        <v>59114.0</v>
      </c>
      <c r="M25" s="98"/>
      <c r="N25" s="92">
        <v>-144.0</v>
      </c>
      <c r="O25" s="92">
        <v>73033.0</v>
      </c>
      <c r="P25" s="43"/>
      <c r="Q25" s="43"/>
      <c r="R25" s="92"/>
      <c r="S25" s="92">
        <v>62203.0</v>
      </c>
      <c r="T25" s="92">
        <v>4823.0</v>
      </c>
      <c r="U25" s="92">
        <v>-28862.0</v>
      </c>
      <c r="V25" s="43"/>
      <c r="W25" s="43"/>
      <c r="X25" s="92">
        <v>336752.0</v>
      </c>
      <c r="Y25" s="92">
        <v>63801.9816</v>
      </c>
      <c r="Z25" s="92">
        <v>28191.0</v>
      </c>
      <c r="AA25" s="92">
        <v>-1255.0</v>
      </c>
      <c r="AB25" s="92">
        <v>-33.0</v>
      </c>
      <c r="AC25" s="92">
        <v>-257109.0</v>
      </c>
      <c r="AD25" s="43"/>
    </row>
    <row r="26">
      <c r="A26" s="42">
        <v>2020.0</v>
      </c>
      <c r="B26" s="97">
        <v>-3308992.0</v>
      </c>
      <c r="C26" s="92">
        <v>911000.0</v>
      </c>
      <c r="D26" s="92">
        <v>-634000.0</v>
      </c>
      <c r="E26" s="92">
        <v>-31523.0</v>
      </c>
      <c r="F26" s="92">
        <v>-160000.0</v>
      </c>
      <c r="G26" s="92">
        <v>-41943.0</v>
      </c>
      <c r="H26" s="92">
        <v>112081.0</v>
      </c>
      <c r="I26" s="92">
        <v>-143561.0</v>
      </c>
      <c r="J26" s="92">
        <v>-124249.0</v>
      </c>
      <c r="K26" s="92">
        <v>-3074.0</v>
      </c>
      <c r="L26" s="96">
        <v>10001.0</v>
      </c>
      <c r="M26" s="98"/>
      <c r="N26" s="92">
        <v>-9428.0</v>
      </c>
      <c r="O26" s="92">
        <v>17432.0</v>
      </c>
      <c r="P26" s="43"/>
      <c r="Q26" s="43"/>
      <c r="R26" s="92"/>
      <c r="S26" s="92">
        <v>-55124.0</v>
      </c>
      <c r="T26" s="92">
        <v>5938.0</v>
      </c>
      <c r="U26" s="92">
        <v>3493.0</v>
      </c>
      <c r="V26" s="43"/>
      <c r="W26" s="43"/>
      <c r="X26" s="92">
        <v>312986.0</v>
      </c>
      <c r="Y26" s="92">
        <v>-140830.82200000001</v>
      </c>
      <c r="Z26" s="92">
        <v>-17062.0</v>
      </c>
      <c r="AA26" s="92">
        <v>-42584.0</v>
      </c>
      <c r="AB26" s="92">
        <v>-729.0</v>
      </c>
      <c r="AC26" s="92">
        <v>-148388.0</v>
      </c>
      <c r="AD26" s="43"/>
    </row>
    <row r="27">
      <c r="A27" s="42">
        <v>2021.0</v>
      </c>
      <c r="B27" s="97">
        <v>721566.0</v>
      </c>
      <c r="C27" s="92">
        <v>2930000.0</v>
      </c>
      <c r="D27" s="92">
        <v>1076000.0</v>
      </c>
      <c r="E27" s="92">
        <v>-61221.0</v>
      </c>
      <c r="F27" s="92">
        <v>-20000.0</v>
      </c>
      <c r="G27" s="92">
        <v>20840.0</v>
      </c>
      <c r="H27" s="92">
        <v>-48550.0</v>
      </c>
      <c r="I27" s="92">
        <v>-56919.0</v>
      </c>
      <c r="J27" s="92">
        <v>-34267.0</v>
      </c>
      <c r="K27" s="92">
        <v>729.0</v>
      </c>
      <c r="L27" s="96">
        <v>-85988.0</v>
      </c>
      <c r="M27" s="96">
        <v>-45045.93164</v>
      </c>
      <c r="N27" s="92">
        <v>-880.0</v>
      </c>
      <c r="O27" s="92">
        <v>-45764.0</v>
      </c>
      <c r="P27" s="96">
        <v>4355.0</v>
      </c>
      <c r="Q27" s="43"/>
      <c r="R27" s="92"/>
      <c r="S27" s="92">
        <f>-16931*1.1</f>
        <v>-18624.1</v>
      </c>
      <c r="T27" s="92">
        <v>10690.0</v>
      </c>
      <c r="U27" s="92">
        <v>-6201.0</v>
      </c>
      <c r="V27" s="43"/>
      <c r="W27" s="43"/>
      <c r="X27" s="92">
        <v>-248581.0</v>
      </c>
      <c r="Y27" s="92">
        <v>-123090.36839999999</v>
      </c>
      <c r="Z27" s="92">
        <v>-10617.0</v>
      </c>
      <c r="AA27" s="92">
        <v>-2949.0</v>
      </c>
      <c r="AB27" s="92">
        <v>-37958.0</v>
      </c>
      <c r="AC27" s="92">
        <v>-145636.0</v>
      </c>
      <c r="AD27" s="43"/>
    </row>
    <row r="28">
      <c r="A28" s="42">
        <v>2022.0</v>
      </c>
      <c r="B28" s="97">
        <v>1980300.0</v>
      </c>
      <c r="C28" s="92">
        <v>5354000.0</v>
      </c>
      <c r="D28" s="92">
        <v>1981000.0</v>
      </c>
      <c r="E28" s="92">
        <v>126253.0</v>
      </c>
      <c r="F28" s="92">
        <v>196000.0</v>
      </c>
      <c r="G28" s="92">
        <v>75208.0</v>
      </c>
      <c r="H28" s="92">
        <v>3989.0</v>
      </c>
      <c r="I28" s="92">
        <v>34804.0</v>
      </c>
      <c r="J28" s="92">
        <v>-876.0</v>
      </c>
      <c r="K28" s="92">
        <v>-1452.0</v>
      </c>
      <c r="L28" s="96">
        <v>-13673.0</v>
      </c>
      <c r="M28" s="96">
        <v>-25781.08383</v>
      </c>
      <c r="N28" s="92">
        <v>4369.0</v>
      </c>
      <c r="O28" s="92">
        <v>-17957.0</v>
      </c>
      <c r="P28" s="96">
        <v>23465.0</v>
      </c>
      <c r="Q28" s="43"/>
      <c r="R28" s="92"/>
      <c r="S28" s="92">
        <f>-13811*1.1</f>
        <v>-15192.1</v>
      </c>
      <c r="T28" s="92">
        <v>18072.0</v>
      </c>
      <c r="U28" s="92">
        <v>-667.0</v>
      </c>
      <c r="V28" s="43"/>
      <c r="W28" s="43"/>
      <c r="X28" s="92">
        <v>-321237.0</v>
      </c>
      <c r="Y28" s="92">
        <v>38098.676</v>
      </c>
      <c r="Z28" s="92">
        <v>40393.0</v>
      </c>
      <c r="AA28" s="92">
        <v>10768.0</v>
      </c>
      <c r="AB28" s="92">
        <v>-77311.0</v>
      </c>
      <c r="AC28" s="92">
        <v>-96338.0</v>
      </c>
      <c r="AD28" s="43"/>
    </row>
    <row r="29">
      <c r="A29" s="42">
        <v>2023.0</v>
      </c>
      <c r="B29" s="97">
        <v>1562000.0</v>
      </c>
      <c r="C29" s="92">
        <v>6344000.0</v>
      </c>
      <c r="D29" s="92">
        <v>2274000.0</v>
      </c>
      <c r="E29" s="92">
        <v>1699563.0</v>
      </c>
      <c r="F29" s="92">
        <v>238000.0</v>
      </c>
      <c r="G29" s="92">
        <v>48726.0</v>
      </c>
      <c r="H29" s="92">
        <v>25120.0</v>
      </c>
      <c r="I29" s="92">
        <v>101809.0</v>
      </c>
      <c r="J29" s="92">
        <v>50823.0</v>
      </c>
      <c r="K29" s="92">
        <v>4764.0</v>
      </c>
      <c r="L29" s="96">
        <v>78222.0</v>
      </c>
      <c r="M29" s="96">
        <v>13698.35608</v>
      </c>
      <c r="N29" s="92">
        <v>3425.0</v>
      </c>
      <c r="O29" s="92">
        <v>85377.0</v>
      </c>
      <c r="P29" s="96">
        <v>33410.0</v>
      </c>
      <c r="Q29" s="43"/>
      <c r="R29" s="92"/>
      <c r="S29" s="92">
        <f>10883*1.1</f>
        <v>11971.3</v>
      </c>
      <c r="T29" s="92">
        <v>22214.0</v>
      </c>
      <c r="U29" s="92">
        <v>3294.0</v>
      </c>
      <c r="V29" s="43"/>
      <c r="W29" s="43"/>
      <c r="X29" s="92">
        <v>-152353.0</v>
      </c>
      <c r="Y29" s="92">
        <v>119060.0</v>
      </c>
      <c r="Z29" s="92">
        <v>74332.0</v>
      </c>
      <c r="AA29" s="92">
        <v>30741.0</v>
      </c>
      <c r="AB29" s="43"/>
      <c r="AC29" s="92">
        <v>11857.0</v>
      </c>
      <c r="AD29" s="43"/>
    </row>
    <row r="30">
      <c r="A30" s="42">
        <v>2024.0</v>
      </c>
      <c r="B30" s="43"/>
      <c r="C30" s="43"/>
      <c r="D30" s="43"/>
      <c r="E30" s="43"/>
      <c r="F30" s="43"/>
      <c r="G30" s="43"/>
      <c r="H30" s="92">
        <v>85821.0</v>
      </c>
      <c r="I30" s="43"/>
      <c r="J30" s="92">
        <v>103378.0</v>
      </c>
      <c r="K30" s="92">
        <v>6364.0</v>
      </c>
      <c r="L30" s="43"/>
      <c r="M30" s="43"/>
      <c r="N30" s="92">
        <v>5452.0</v>
      </c>
      <c r="O30" s="92">
        <v>124696.0</v>
      </c>
      <c r="P30" s="43"/>
      <c r="Q30" s="43"/>
      <c r="R30" s="43"/>
      <c r="S30" s="43"/>
      <c r="T30" s="92">
        <v>27370.0</v>
      </c>
      <c r="U30" s="92">
        <v>464.0</v>
      </c>
      <c r="V30" s="43"/>
      <c r="W30" s="43"/>
      <c r="X30" s="92">
        <v>177529.0</v>
      </c>
      <c r="Y30" s="43"/>
      <c r="Z30" s="43"/>
      <c r="AA30" s="43"/>
      <c r="AB30" s="43"/>
      <c r="AC30" s="43"/>
      <c r="AD30" s="43"/>
    </row>
    <row r="3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92">
        <v>303452.0</v>
      </c>
      <c r="Y31" s="43"/>
      <c r="Z31" s="43"/>
      <c r="AA31" s="43"/>
      <c r="AB31" s="43"/>
      <c r="AC31" s="43"/>
      <c r="AD31" s="43"/>
    </row>
    <row r="32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</row>
    <row r="33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</row>
    <row r="34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</row>
    <row r="3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</row>
    <row r="36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</row>
    <row r="37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</row>
    <row r="38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</row>
    <row r="39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</row>
    <row r="40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</row>
    <row r="4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</row>
    <row r="42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</row>
    <row r="43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</row>
    <row r="44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</row>
    <row r="4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</row>
    <row r="46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</row>
    <row r="47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</row>
    <row r="48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</row>
    <row r="49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</row>
    <row r="50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</row>
    <row r="5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</row>
    <row r="52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</row>
    <row r="53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</row>
    <row r="54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</row>
    <row r="5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</row>
    <row r="56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</row>
    <row r="57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</row>
    <row r="58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</row>
    <row r="59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</row>
    <row r="60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</row>
    <row r="6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</row>
    <row r="62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</row>
    <row r="63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</row>
    <row r="64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</row>
    <row r="6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</row>
    <row r="66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</row>
    <row r="67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</row>
    <row r="68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</row>
    <row r="69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</row>
    <row r="70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</row>
    <row r="7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</row>
    <row r="72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</row>
    <row r="73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</row>
    <row r="74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</row>
    <row r="7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</row>
    <row r="76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</row>
    <row r="77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</row>
    <row r="78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</row>
    <row r="79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</row>
    <row r="80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</row>
    <row r="8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</row>
    <row r="8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</row>
    <row r="83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</row>
    <row r="84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</row>
    <row r="8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</row>
    <row r="86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</row>
    <row r="87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</row>
    <row r="88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</row>
    <row r="89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</row>
    <row r="90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</row>
    <row r="9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</row>
    <row r="9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</row>
    <row r="93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</row>
    <row r="94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</row>
    <row r="9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</row>
    <row r="96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</row>
    <row r="97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</row>
    <row r="98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</row>
    <row r="99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</row>
    <row r="100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</row>
    <row r="10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</row>
    <row r="10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</row>
    <row r="103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</row>
    <row r="104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</row>
    <row r="10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</row>
    <row r="106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</row>
    <row r="107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</row>
    <row r="108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</row>
    <row r="109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</row>
    <row r="110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</row>
    <row r="11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</row>
    <row r="11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</row>
    <row r="113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</row>
    <row r="114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</row>
    <row r="11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</row>
    <row r="116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</row>
    <row r="117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</row>
    <row r="118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</row>
    <row r="119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</row>
    <row r="120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</row>
    <row r="12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</row>
    <row r="12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</row>
    <row r="123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</row>
    <row r="124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</row>
    <row r="1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</row>
    <row r="126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</row>
    <row r="127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</row>
    <row r="128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</row>
    <row r="129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</row>
    <row r="130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</row>
    <row r="13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</row>
    <row r="13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</row>
    <row r="133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</row>
    <row r="134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</row>
    <row r="13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</row>
    <row r="13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</row>
    <row r="137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</row>
    <row r="138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</row>
    <row r="139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</row>
    <row r="140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</row>
    <row r="14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</row>
    <row r="14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</row>
    <row r="143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</row>
    <row r="144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</row>
    <row r="14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</row>
    <row r="146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</row>
    <row r="147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</row>
    <row r="148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</row>
    <row r="149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</row>
    <row r="150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</row>
    <row r="15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</row>
    <row r="15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</row>
    <row r="153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</row>
    <row r="154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</row>
    <row r="15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</row>
    <row r="156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</row>
    <row r="157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</row>
    <row r="158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</row>
    <row r="159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</row>
    <row r="160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</row>
    <row r="16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</row>
    <row r="16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</row>
    <row r="163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</row>
    <row r="164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</row>
    <row r="16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</row>
    <row r="166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</row>
    <row r="167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</row>
    <row r="168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</row>
    <row r="169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</row>
    <row r="170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</row>
    <row r="17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</row>
    <row r="172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</row>
    <row r="173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</row>
    <row r="174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</row>
    <row r="17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</row>
    <row r="176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</row>
    <row r="177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</row>
    <row r="178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</row>
    <row r="179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</row>
    <row r="180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</row>
    <row r="18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</row>
    <row r="182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</row>
    <row r="183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</row>
    <row r="184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</row>
    <row r="18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</row>
    <row r="186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</row>
    <row r="187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</row>
    <row r="188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</row>
    <row r="189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</row>
    <row r="190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</row>
    <row r="19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</row>
    <row r="192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</row>
    <row r="193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</row>
    <row r="194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</row>
    <row r="19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</row>
    <row r="196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</row>
    <row r="197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</row>
    <row r="198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</row>
    <row r="199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</row>
    <row r="200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</row>
    <row r="20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</row>
    <row r="202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</row>
    <row r="203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</row>
    <row r="204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</row>
    <row r="20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</row>
    <row r="206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</row>
    <row r="207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</row>
    <row r="208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</row>
    <row r="209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</row>
    <row r="210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</row>
    <row r="21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</row>
    <row r="212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</row>
    <row r="213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</row>
    <row r="214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</row>
    <row r="21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</row>
    <row r="216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</row>
    <row r="217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</row>
    <row r="218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</row>
    <row r="219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</row>
    <row r="220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</row>
    <row r="22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</row>
    <row r="22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</row>
    <row r="223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</row>
    <row r="224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</row>
    <row r="2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</row>
    <row r="226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</row>
    <row r="227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</row>
    <row r="228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</row>
    <row r="229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</row>
    <row r="230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</row>
    <row r="23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</row>
    <row r="23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</row>
    <row r="233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</row>
    <row r="234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</row>
    <row r="23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</row>
    <row r="236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</row>
    <row r="237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</row>
    <row r="238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</row>
    <row r="239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</row>
    <row r="240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</row>
    <row r="24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</row>
    <row r="242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</row>
    <row r="243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</row>
    <row r="244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</row>
    <row r="24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</row>
    <row r="246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</row>
    <row r="247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</row>
    <row r="248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</row>
    <row r="249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</row>
    <row r="250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</row>
    <row r="25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</row>
    <row r="252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</row>
    <row r="253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</row>
    <row r="254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</row>
    <row r="25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</row>
    <row r="256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</row>
    <row r="257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</row>
    <row r="258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</row>
    <row r="259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</row>
    <row r="260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</row>
    <row r="26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</row>
    <row r="262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</row>
    <row r="263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</row>
    <row r="264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</row>
    <row r="26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</row>
    <row r="266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</row>
    <row r="267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</row>
    <row r="268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</row>
    <row r="269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</row>
    <row r="270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</row>
    <row r="27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</row>
    <row r="272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</row>
    <row r="273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</row>
    <row r="274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</row>
    <row r="27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</row>
    <row r="276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</row>
    <row r="277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</row>
    <row r="278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</row>
    <row r="279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</row>
    <row r="280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</row>
    <row r="28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</row>
    <row r="282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</row>
    <row r="283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</row>
    <row r="284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</row>
    <row r="28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</row>
    <row r="286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</row>
    <row r="287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</row>
    <row r="288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</row>
    <row r="289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</row>
    <row r="290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</row>
    <row r="29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</row>
    <row r="292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</row>
    <row r="293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</row>
    <row r="294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</row>
    <row r="29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</row>
    <row r="296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</row>
    <row r="297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</row>
    <row r="298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</row>
    <row r="299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</row>
    <row r="300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</row>
    <row r="30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</row>
    <row r="302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</row>
    <row r="303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</row>
    <row r="304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</row>
    <row r="30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</row>
    <row r="306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</row>
    <row r="307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</row>
    <row r="308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</row>
    <row r="309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</row>
    <row r="310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</row>
    <row r="31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</row>
    <row r="312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</row>
    <row r="313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</row>
    <row r="314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</row>
    <row r="31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</row>
    <row r="316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</row>
    <row r="317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</row>
    <row r="318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</row>
    <row r="319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</row>
    <row r="320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</row>
    <row r="32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</row>
    <row r="322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</row>
    <row r="323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</row>
    <row r="324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</row>
    <row r="3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</row>
    <row r="326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</row>
    <row r="327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</row>
    <row r="328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</row>
    <row r="329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</row>
    <row r="330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</row>
    <row r="33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</row>
    <row r="332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</row>
    <row r="333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</row>
    <row r="334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</row>
    <row r="33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</row>
    <row r="336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</row>
    <row r="337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</row>
    <row r="338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</row>
    <row r="339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</row>
    <row r="340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</row>
    <row r="34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</row>
    <row r="342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</row>
    <row r="343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</row>
    <row r="344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</row>
    <row r="34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</row>
    <row r="346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</row>
    <row r="347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</row>
    <row r="348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</row>
    <row r="349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</row>
    <row r="350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</row>
    <row r="35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</row>
    <row r="352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</row>
    <row r="353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</row>
    <row r="354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</row>
    <row r="35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</row>
    <row r="356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</row>
    <row r="357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</row>
    <row r="358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</row>
    <row r="359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</row>
    <row r="360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</row>
    <row r="36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</row>
    <row r="362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</row>
    <row r="363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</row>
    <row r="364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</row>
    <row r="36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</row>
    <row r="366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</row>
    <row r="367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</row>
    <row r="368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</row>
    <row r="369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</row>
    <row r="370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</row>
    <row r="37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</row>
    <row r="372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</row>
    <row r="373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</row>
    <row r="374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</row>
    <row r="37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</row>
    <row r="376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</row>
    <row r="377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</row>
    <row r="378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</row>
    <row r="379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</row>
    <row r="380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</row>
    <row r="38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</row>
    <row r="382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</row>
    <row r="383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</row>
    <row r="384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</row>
    <row r="38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</row>
    <row r="386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</row>
    <row r="387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</row>
    <row r="388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</row>
    <row r="389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</row>
    <row r="390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</row>
    <row r="39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</row>
    <row r="392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</row>
    <row r="393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</row>
    <row r="394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</row>
    <row r="39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</row>
    <row r="396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</row>
    <row r="397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</row>
    <row r="398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</row>
    <row r="399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</row>
    <row r="400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</row>
    <row r="40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</row>
    <row r="402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</row>
    <row r="403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</row>
    <row r="404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</row>
    <row r="40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</row>
    <row r="406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</row>
    <row r="407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</row>
    <row r="408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</row>
    <row r="409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</row>
    <row r="410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</row>
    <row r="41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</row>
    <row r="412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</row>
    <row r="413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</row>
    <row r="414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</row>
    <row r="41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</row>
    <row r="416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</row>
    <row r="417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</row>
    <row r="418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</row>
    <row r="419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</row>
    <row r="420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</row>
    <row r="42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</row>
    <row r="422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</row>
    <row r="423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</row>
    <row r="424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</row>
    <row r="4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</row>
    <row r="426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</row>
    <row r="427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</row>
    <row r="428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</row>
    <row r="429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</row>
    <row r="430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</row>
    <row r="43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</row>
    <row r="432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</row>
    <row r="433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</row>
    <row r="434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</row>
    <row r="43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</row>
    <row r="436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</row>
    <row r="437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</row>
    <row r="438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</row>
    <row r="439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</row>
    <row r="440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</row>
    <row r="44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</row>
    <row r="442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</row>
    <row r="443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</row>
    <row r="444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</row>
    <row r="44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</row>
    <row r="446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</row>
    <row r="447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</row>
    <row r="448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</row>
    <row r="449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</row>
    <row r="450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</row>
    <row r="45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</row>
    <row r="452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</row>
    <row r="453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</row>
    <row r="454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</row>
    <row r="45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</row>
    <row r="456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</row>
    <row r="457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</row>
    <row r="458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</row>
    <row r="459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</row>
    <row r="460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</row>
    <row r="46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</row>
    <row r="462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</row>
    <row r="463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</row>
    <row r="464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</row>
    <row r="46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</row>
    <row r="466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</row>
    <row r="467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</row>
    <row r="468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</row>
    <row r="469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</row>
    <row r="470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</row>
    <row r="47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</row>
    <row r="472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</row>
    <row r="473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</row>
    <row r="474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</row>
    <row r="47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</row>
    <row r="476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</row>
    <row r="477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</row>
    <row r="478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</row>
    <row r="479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</row>
    <row r="480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</row>
    <row r="48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</row>
    <row r="482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</row>
    <row r="483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</row>
    <row r="484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</row>
    <row r="48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</row>
    <row r="486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</row>
    <row r="487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</row>
    <row r="488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</row>
    <row r="489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</row>
    <row r="490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</row>
    <row r="49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</row>
    <row r="492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</row>
    <row r="493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</row>
    <row r="494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</row>
    <row r="49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</row>
    <row r="496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</row>
    <row r="497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</row>
    <row r="498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</row>
    <row r="499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</row>
    <row r="500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</row>
    <row r="50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</row>
    <row r="502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</row>
    <row r="503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</row>
    <row r="504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</row>
    <row r="50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</row>
    <row r="506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</row>
    <row r="507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</row>
    <row r="508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</row>
    <row r="509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</row>
    <row r="510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</row>
    <row r="51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</row>
    <row r="512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</row>
    <row r="513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</row>
    <row r="514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</row>
    <row r="51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</row>
    <row r="516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</row>
    <row r="517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</row>
    <row r="518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</row>
    <row r="519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</row>
    <row r="520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</row>
    <row r="52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</row>
    <row r="522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</row>
    <row r="523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</row>
    <row r="524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</row>
    <row r="5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</row>
    <row r="526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</row>
    <row r="527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</row>
    <row r="528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</row>
    <row r="529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</row>
    <row r="530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</row>
    <row r="53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</row>
    <row r="532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</row>
    <row r="533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</row>
    <row r="534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</row>
    <row r="53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</row>
    <row r="536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</row>
    <row r="537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</row>
    <row r="538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</row>
    <row r="539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</row>
    <row r="540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</row>
    <row r="54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</row>
    <row r="542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</row>
    <row r="543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</row>
    <row r="544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</row>
    <row r="54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</row>
    <row r="546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</row>
    <row r="547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</row>
    <row r="548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</row>
    <row r="549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</row>
    <row r="550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</row>
    <row r="55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</row>
    <row r="552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</row>
    <row r="553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</row>
    <row r="554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</row>
    <row r="55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</row>
    <row r="556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</row>
    <row r="557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</row>
    <row r="558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</row>
    <row r="559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</row>
    <row r="560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</row>
    <row r="56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</row>
    <row r="562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</row>
    <row r="563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</row>
    <row r="564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</row>
    <row r="56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</row>
    <row r="566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</row>
    <row r="567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</row>
    <row r="568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</row>
    <row r="569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</row>
    <row r="570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</row>
    <row r="57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</row>
    <row r="572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</row>
    <row r="573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</row>
    <row r="574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</row>
    <row r="57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</row>
    <row r="576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</row>
    <row r="577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</row>
    <row r="578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</row>
    <row r="579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</row>
    <row r="580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</row>
    <row r="58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</row>
    <row r="582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</row>
    <row r="583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</row>
    <row r="584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</row>
    <row r="58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</row>
    <row r="586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</row>
    <row r="587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</row>
    <row r="588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</row>
    <row r="589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</row>
    <row r="590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</row>
    <row r="59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</row>
    <row r="592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</row>
    <row r="593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</row>
    <row r="594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</row>
    <row r="59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</row>
    <row r="596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</row>
    <row r="597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</row>
    <row r="598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</row>
    <row r="599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</row>
    <row r="600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</row>
    <row r="60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</row>
    <row r="602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</row>
    <row r="603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</row>
    <row r="604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</row>
    <row r="60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</row>
    <row r="606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</row>
    <row r="607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</row>
    <row r="608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</row>
    <row r="609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</row>
    <row r="610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</row>
    <row r="61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</row>
    <row r="612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</row>
    <row r="613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</row>
    <row r="614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</row>
    <row r="61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</row>
    <row r="616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</row>
    <row r="617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</row>
    <row r="618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</row>
    <row r="619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</row>
    <row r="620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</row>
    <row r="62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</row>
    <row r="622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</row>
    <row r="623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</row>
    <row r="624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</row>
    <row r="6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</row>
    <row r="626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</row>
    <row r="627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</row>
    <row r="628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</row>
    <row r="629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</row>
    <row r="630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</row>
    <row r="63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</row>
    <row r="632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</row>
    <row r="633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</row>
    <row r="634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</row>
    <row r="63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</row>
    <row r="636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</row>
    <row r="637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</row>
    <row r="638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</row>
    <row r="639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</row>
    <row r="640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</row>
    <row r="64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</row>
    <row r="642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</row>
    <row r="643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</row>
    <row r="644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</row>
    <row r="64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</row>
    <row r="646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</row>
    <row r="647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</row>
    <row r="648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</row>
    <row r="649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</row>
    <row r="650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</row>
    <row r="65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</row>
    <row r="652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</row>
    <row r="653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</row>
    <row r="654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</row>
    <row r="65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</row>
    <row r="656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</row>
    <row r="657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</row>
    <row r="658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</row>
    <row r="659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</row>
    <row r="660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</row>
    <row r="66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</row>
    <row r="662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</row>
    <row r="663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</row>
    <row r="664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</row>
    <row r="66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</row>
    <row r="666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</row>
    <row r="667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</row>
    <row r="668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</row>
    <row r="669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</row>
    <row r="670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</row>
    <row r="67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</row>
    <row r="672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</row>
    <row r="673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</row>
    <row r="674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</row>
    <row r="67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</row>
    <row r="676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</row>
    <row r="677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</row>
    <row r="678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</row>
    <row r="679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</row>
    <row r="680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</row>
    <row r="68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</row>
    <row r="682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</row>
    <row r="683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</row>
    <row r="684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</row>
    <row r="68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</row>
    <row r="686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</row>
    <row r="687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</row>
    <row r="688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</row>
    <row r="689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</row>
    <row r="690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</row>
    <row r="69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</row>
    <row r="692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</row>
    <row r="693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</row>
    <row r="694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</row>
    <row r="69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</row>
    <row r="696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</row>
    <row r="697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</row>
    <row r="698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</row>
    <row r="699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</row>
    <row r="700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</row>
    <row r="70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</row>
    <row r="702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</row>
    <row r="703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</row>
    <row r="704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</row>
    <row r="70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</row>
    <row r="706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</row>
    <row r="707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</row>
    <row r="708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</row>
    <row r="709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</row>
    <row r="710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</row>
    <row r="71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</row>
    <row r="712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</row>
    <row r="713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</row>
    <row r="714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</row>
    <row r="71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</row>
    <row r="716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</row>
    <row r="717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</row>
    <row r="718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</row>
    <row r="719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</row>
    <row r="720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</row>
    <row r="72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</row>
    <row r="722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  <c r="AD722" s="43"/>
    </row>
    <row r="723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  <c r="AD723" s="43"/>
    </row>
    <row r="724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  <c r="AD724" s="43"/>
    </row>
    <row r="7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</row>
    <row r="726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</row>
    <row r="727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</row>
    <row r="728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</row>
    <row r="729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</row>
    <row r="730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</row>
    <row r="73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</row>
    <row r="732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</row>
    <row r="733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</row>
    <row r="734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</row>
    <row r="73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</row>
    <row r="736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</row>
    <row r="737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</row>
    <row r="738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</row>
    <row r="739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</row>
    <row r="740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</row>
    <row r="74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</row>
    <row r="742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</row>
    <row r="743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</row>
    <row r="744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</row>
    <row r="74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</row>
    <row r="746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</row>
    <row r="747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</row>
    <row r="748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</row>
    <row r="749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</row>
    <row r="750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  <c r="AD750" s="43"/>
    </row>
    <row r="75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</row>
    <row r="75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</row>
    <row r="753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</row>
    <row r="754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</row>
    <row r="75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</row>
    <row r="756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</row>
    <row r="757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</row>
    <row r="758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</row>
    <row r="759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</row>
    <row r="760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</row>
    <row r="76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</row>
    <row r="76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</row>
    <row r="763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</row>
    <row r="764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</row>
    <row r="76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</row>
    <row r="766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</row>
    <row r="767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</row>
    <row r="768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</row>
    <row r="769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</row>
    <row r="770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</row>
    <row r="77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</row>
    <row r="77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</row>
    <row r="773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</row>
    <row r="774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</row>
    <row r="77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</row>
    <row r="776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</row>
    <row r="777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</row>
    <row r="778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</row>
    <row r="779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</row>
    <row r="780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</row>
    <row r="78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</row>
    <row r="78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</row>
    <row r="783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</row>
    <row r="784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</row>
    <row r="78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</row>
    <row r="786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</row>
    <row r="787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</row>
    <row r="788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</row>
    <row r="789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</row>
    <row r="790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</row>
    <row r="79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</row>
    <row r="79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</row>
    <row r="793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</row>
    <row r="794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</row>
    <row r="79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</row>
    <row r="796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</row>
    <row r="797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</row>
    <row r="798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</row>
    <row r="799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</row>
    <row r="800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</row>
    <row r="80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</row>
    <row r="80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</row>
    <row r="803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</row>
    <row r="804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</row>
    <row r="80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</row>
    <row r="806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</row>
    <row r="807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  <c r="AD807" s="43"/>
    </row>
    <row r="808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  <c r="AD808" s="43"/>
    </row>
    <row r="809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  <c r="AD809" s="43"/>
    </row>
    <row r="810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  <c r="AD810" s="43"/>
    </row>
    <row r="81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  <c r="AD811" s="43"/>
    </row>
    <row r="81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  <c r="AD812" s="43"/>
    </row>
    <row r="813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  <c r="AD813" s="43"/>
    </row>
    <row r="814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  <c r="AD814" s="43"/>
    </row>
    <row r="81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  <c r="AD815" s="43"/>
    </row>
    <row r="816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</row>
    <row r="817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  <c r="AD817" s="43"/>
    </row>
    <row r="818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  <c r="AD818" s="43"/>
    </row>
    <row r="819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  <c r="AD819" s="43"/>
    </row>
    <row r="820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  <c r="AD820" s="43"/>
    </row>
    <row r="82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  <c r="AD821" s="43"/>
    </row>
    <row r="82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</row>
    <row r="823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  <c r="AD823" s="43"/>
    </row>
    <row r="824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</row>
    <row r="8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</row>
    <row r="826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</row>
    <row r="827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  <c r="AD827" s="43"/>
    </row>
    <row r="828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  <c r="AD828" s="43"/>
    </row>
    <row r="829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  <c r="AD829" s="43"/>
    </row>
    <row r="830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  <c r="AD830" s="43"/>
    </row>
    <row r="83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</row>
    <row r="83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</row>
    <row r="833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</row>
    <row r="834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  <c r="AD834" s="43"/>
    </row>
    <row r="83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</row>
    <row r="836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</row>
    <row r="837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</row>
    <row r="838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  <c r="AD838" s="43"/>
    </row>
    <row r="839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  <c r="AD839" s="43"/>
    </row>
    <row r="840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  <c r="AD840" s="43"/>
    </row>
    <row r="84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  <c r="AD841" s="43"/>
    </row>
    <row r="84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  <c r="AD842" s="43"/>
    </row>
    <row r="843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  <c r="AD843" s="43"/>
    </row>
    <row r="844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  <c r="AD844" s="43"/>
    </row>
    <row r="84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</row>
    <row r="846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</row>
    <row r="847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  <c r="AD847" s="43"/>
    </row>
    <row r="848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  <c r="AD848" s="43"/>
    </row>
    <row r="849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</row>
    <row r="850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</row>
    <row r="85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</row>
    <row r="85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</row>
    <row r="853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  <c r="AD853" s="43"/>
    </row>
    <row r="854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  <c r="AD854" s="43"/>
    </row>
    <row r="85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  <c r="AD855" s="43"/>
    </row>
    <row r="856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  <c r="AD856" s="43"/>
    </row>
    <row r="857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</row>
    <row r="858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  <c r="AD858" s="43"/>
    </row>
    <row r="859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</row>
    <row r="860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</row>
    <row r="86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</row>
    <row r="86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</row>
    <row r="863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</row>
    <row r="864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  <c r="AD864" s="43"/>
    </row>
    <row r="86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  <c r="AD865" s="43"/>
    </row>
    <row r="866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</row>
    <row r="867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  <c r="AD867" s="43"/>
    </row>
    <row r="868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  <c r="AD868" s="43"/>
    </row>
    <row r="869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  <c r="AD869" s="43"/>
    </row>
    <row r="870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  <c r="AD870" s="43"/>
    </row>
    <row r="87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</row>
    <row r="87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  <c r="AD872" s="43"/>
    </row>
    <row r="873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  <c r="AD873" s="43"/>
    </row>
    <row r="874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  <c r="AD874" s="43"/>
    </row>
    <row r="87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  <c r="AD875" s="43"/>
    </row>
    <row r="876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  <c r="AD876" s="43"/>
    </row>
    <row r="877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  <c r="AD877" s="43"/>
    </row>
    <row r="878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  <c r="AD878" s="43"/>
    </row>
    <row r="879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  <c r="AD879" s="43"/>
    </row>
    <row r="880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</row>
    <row r="88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  <c r="AD881" s="43"/>
    </row>
    <row r="88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  <c r="AD882" s="43"/>
    </row>
    <row r="883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  <c r="AD883" s="43"/>
    </row>
    <row r="884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</row>
    <row r="88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  <c r="AD885" s="43"/>
    </row>
    <row r="886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  <c r="AD886" s="43"/>
    </row>
    <row r="887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</row>
    <row r="888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</row>
    <row r="889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  <c r="AD889" s="43"/>
    </row>
    <row r="890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  <c r="AD890" s="43"/>
    </row>
    <row r="89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  <c r="AD891" s="43"/>
    </row>
    <row r="89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  <c r="AD892" s="43"/>
    </row>
    <row r="893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  <c r="AD893" s="43"/>
    </row>
    <row r="894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  <c r="AD894" s="43"/>
    </row>
    <row r="89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  <c r="AD895" s="43"/>
    </row>
    <row r="896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  <c r="AD896" s="43"/>
    </row>
    <row r="897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  <c r="AD897" s="43"/>
    </row>
    <row r="898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  <c r="AD898" s="43"/>
    </row>
    <row r="899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  <c r="AD899" s="43"/>
    </row>
    <row r="900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  <c r="AD900" s="43"/>
    </row>
    <row r="90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  <c r="AD901" s="43"/>
    </row>
    <row r="90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</row>
    <row r="903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  <c r="AD903" s="43"/>
    </row>
    <row r="904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  <c r="AD904" s="43"/>
    </row>
    <row r="90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  <c r="AD905" s="43"/>
    </row>
    <row r="906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</row>
    <row r="907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  <c r="AD907" s="43"/>
    </row>
    <row r="908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  <c r="AD908" s="43"/>
    </row>
    <row r="909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  <c r="AD909" s="43"/>
    </row>
    <row r="910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  <c r="AD910" s="43"/>
    </row>
    <row r="91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  <c r="AD911" s="43"/>
    </row>
    <row r="91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  <c r="AD912" s="43"/>
    </row>
    <row r="913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  <c r="AD913" s="43"/>
    </row>
    <row r="914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  <c r="AD914" s="43"/>
    </row>
    <row r="91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  <c r="AD915" s="43"/>
    </row>
    <row r="916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  <c r="AD916" s="43"/>
    </row>
    <row r="917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</row>
    <row r="918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  <c r="AD918" s="43"/>
    </row>
    <row r="919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  <c r="AD919" s="43"/>
    </row>
    <row r="920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  <c r="AD920" s="43"/>
    </row>
    <row r="92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  <c r="AD921" s="43"/>
    </row>
    <row r="92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  <c r="AD922" s="43"/>
    </row>
    <row r="923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  <c r="AD923" s="43"/>
    </row>
    <row r="924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  <c r="AD924" s="43"/>
    </row>
    <row r="92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  <c r="AD925" s="43"/>
    </row>
    <row r="926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</row>
    <row r="927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  <c r="AD927" s="43"/>
    </row>
    <row r="928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  <c r="AD928" s="43"/>
    </row>
    <row r="929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  <c r="AD929" s="43"/>
    </row>
    <row r="930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  <c r="AD930" s="43"/>
    </row>
    <row r="93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  <c r="AD931" s="43"/>
    </row>
    <row r="93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  <c r="AD932" s="43"/>
    </row>
    <row r="933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  <c r="AD933" s="43"/>
    </row>
    <row r="934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  <c r="AD934" s="43"/>
    </row>
    <row r="93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  <c r="AD935" s="43"/>
    </row>
    <row r="936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  <c r="AD936" s="43"/>
    </row>
    <row r="937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  <c r="AD937" s="43"/>
    </row>
    <row r="938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  <c r="AD938" s="43"/>
    </row>
    <row r="939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  <c r="AD939" s="43"/>
    </row>
    <row r="940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  <c r="AD940" s="43"/>
    </row>
    <row r="94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  <c r="AD941" s="43"/>
    </row>
    <row r="94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  <c r="AD942" s="43"/>
    </row>
    <row r="943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  <c r="AD943" s="43"/>
    </row>
    <row r="944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  <c r="AD944" s="43"/>
    </row>
    <row r="94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  <c r="AD945" s="43"/>
    </row>
    <row r="946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  <c r="AD946" s="43"/>
    </row>
    <row r="947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  <c r="AD947" s="43"/>
    </row>
    <row r="948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  <c r="AD948" s="43"/>
    </row>
    <row r="949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  <c r="AD949" s="43"/>
    </row>
    <row r="950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  <c r="AD950" s="43"/>
    </row>
    <row r="95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  <c r="AD951" s="43"/>
    </row>
    <row r="95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  <c r="AD952" s="43"/>
    </row>
    <row r="953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  <c r="AD953" s="43"/>
    </row>
    <row r="954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  <c r="AD954" s="43"/>
    </row>
    <row r="95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  <c r="AD955" s="43"/>
    </row>
    <row r="956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  <c r="AD956" s="43"/>
    </row>
    <row r="957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  <c r="AD957" s="43"/>
    </row>
    <row r="958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  <c r="AD958" s="43"/>
    </row>
    <row r="959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  <c r="AD959" s="43"/>
    </row>
    <row r="960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  <c r="AD960" s="43"/>
    </row>
    <row r="96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  <c r="AD961" s="43"/>
    </row>
    <row r="96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  <c r="AD962" s="43"/>
    </row>
    <row r="963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  <c r="AD963" s="43"/>
    </row>
    <row r="964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  <c r="AD964" s="43"/>
    </row>
    <row r="96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  <c r="AD965" s="43"/>
    </row>
    <row r="966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  <c r="AD966" s="43"/>
    </row>
    <row r="967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  <c r="AD967" s="43"/>
    </row>
    <row r="968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  <c r="AD968" s="43"/>
    </row>
    <row r="969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  <c r="AD969" s="43"/>
    </row>
    <row r="970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  <c r="AD970" s="43"/>
    </row>
    <row r="97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  <c r="AD971" s="43"/>
    </row>
    <row r="97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  <c r="AD972" s="43"/>
    </row>
    <row r="973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  <c r="AD973" s="43"/>
    </row>
    <row r="974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  <c r="AD974" s="43"/>
    </row>
    <row r="97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  <c r="AD975" s="43"/>
    </row>
    <row r="976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  <c r="AD976" s="43"/>
    </row>
    <row r="977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  <c r="AD977" s="43"/>
    </row>
    <row r="978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  <c r="AD978" s="43"/>
    </row>
    <row r="979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  <c r="AD979" s="43"/>
    </row>
    <row r="980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  <c r="AD980" s="43"/>
    </row>
    <row r="98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  <c r="AD981" s="43"/>
    </row>
    <row r="98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  <c r="AC982" s="43"/>
      <c r="AD982" s="43"/>
    </row>
    <row r="983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  <c r="AC983" s="43"/>
      <c r="AD983" s="43"/>
    </row>
    <row r="984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  <c r="AC984" s="43"/>
      <c r="AD984" s="43"/>
    </row>
    <row r="98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  <c r="AC985" s="43"/>
      <c r="AD985" s="43"/>
    </row>
    <row r="986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  <c r="AC986" s="43"/>
      <c r="AD986" s="43"/>
    </row>
    <row r="987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  <c r="AC987" s="43"/>
      <c r="AD987" s="43"/>
    </row>
    <row r="988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  <c r="AC988" s="43"/>
      <c r="AD988" s="43"/>
    </row>
    <row r="989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  <c r="AC989" s="43"/>
      <c r="AD989" s="43"/>
    </row>
    <row r="990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  <c r="AC990" s="43"/>
      <c r="AD990" s="43"/>
    </row>
    <row r="99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  <c r="AC991" s="43"/>
      <c r="AD991" s="43"/>
    </row>
    <row r="99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  <c r="AC992" s="43"/>
      <c r="AD992" s="43"/>
    </row>
    <row r="993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  <c r="AC993" s="43"/>
      <c r="AD993" s="43"/>
    </row>
    <row r="994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  <c r="AC994" s="43"/>
      <c r="AD994" s="43"/>
    </row>
    <row r="995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  <c r="AC995" s="43"/>
      <c r="AD995" s="43"/>
    </row>
    <row r="996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  <c r="AC996" s="43"/>
      <c r="AD996" s="43"/>
    </row>
    <row r="997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  <c r="AB997" s="43"/>
      <c r="AC997" s="43"/>
      <c r="AD997" s="43"/>
    </row>
    <row r="998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  <c r="AB998" s="43"/>
      <c r="AC998" s="43"/>
      <c r="AD998" s="43"/>
    </row>
    <row r="999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  <c r="AB999" s="43"/>
      <c r="AC999" s="43"/>
      <c r="AD999" s="43"/>
    </row>
    <row r="1000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  <c r="AB1000" s="43"/>
      <c r="AC1000" s="43"/>
      <c r="AD1000" s="43"/>
    </row>
  </sheetData>
  <conditionalFormatting sqref="O2 D3:D29 W3:W7 X3:X31 C4:C29 R4:S9 E6:E29 O7:O30 V7:V20 F15:F29 J15:J30 L15:L29 H18:H30 R18:S29 G20:G29 N20:N30 Y20:Y29 AA20:AA29 B21:B29 I21:I29 Z21:Z29 AC21:AC29 T23:U30 AB23:AB28 K25:K30 M27:M29 P27:P29">
    <cfRule type="colorScale" priority="1">
      <colorScale>
        <cfvo type="min"/>
        <cfvo type="formula" val="0"/>
        <cfvo type="max"/>
        <color rgb="FFE67C73"/>
        <color rgb="FFFFFFFF"/>
        <color rgb="FF57BB8A"/>
      </colorScale>
    </cfRule>
  </conditionalFormatting>
  <drawing r:id="rId2"/>
  <legacyDrawing r:id="rId3"/>
</worksheet>
</file>